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<sst xmlns="http://schemas.openxmlformats.org/spreadsheetml/2006/main" count="300" uniqueCount="121">
  <si>
    <t xml:space="preserve">ORÇAMENTO SINTÉTICO DE OBRA</t>
  </si>
  <si>
    <t xml:space="preserve">OBRA: </t>
  </si>
  <si>
    <t xml:space="preserve">Encargos sociais:</t>
  </si>
  <si>
    <t xml:space="preserve">Referência SINAPI</t>
  </si>
  <si>
    <t xml:space="preserve">BDI 1 (%)</t>
  </si>
  <si>
    <t xml:space="preserve">LOCAL:</t>
  </si>
  <si>
    <t xml:space="preserve">SINAPI</t>
  </si>
  <si>
    <t xml:space="preserve">BDI 2 (%)</t>
  </si>
  <si>
    <t xml:space="preserve">ITEM</t>
  </si>
  <si>
    <t xml:space="preserve">FONTE</t>
  </si>
  <si>
    <t xml:space="preserve">CÓDIGO</t>
  </si>
  <si>
    <t xml:space="preserve">DESCRIÇÃO</t>
  </si>
  <si>
    <t xml:space="preserve">UNID</t>
  </si>
  <si>
    <t xml:space="preserve">QUANT.</t>
  </si>
  <si>
    <t xml:space="preserve">PREÇO UNITÁRIO EXCLUSO BDI (R$)</t>
  </si>
  <si>
    <t xml:space="preserve">PREÇO TOTAL EXCLUSO BDI (R$)</t>
  </si>
  <si>
    <t xml:space="preserve">PREÇO UNITÁRIO INCLUSO BDI (R$)</t>
  </si>
  <si>
    <t xml:space="preserve">BDI</t>
  </si>
  <si>
    <t xml:space="preserve">PREÇO TOTAL (R$)</t>
  </si>
  <si>
    <t xml:space="preserve">MATERIAL</t>
  </si>
  <si>
    <t xml:space="preserve">MÃO DE OBRA</t>
  </si>
  <si>
    <t xml:space="preserve">TOTAL</t>
  </si>
  <si>
    <t xml:space="preserve">SERVIÇOS PRELIMINARES</t>
  </si>
  <si>
    <t xml:space="preserve">1.1</t>
  </si>
  <si>
    <t xml:space="preserve">Composição</t>
  </si>
  <si>
    <t xml:space="preserve">BDI 1</t>
  </si>
  <si>
    <t xml:space="preserve">DEMOLIÇÕES</t>
  </si>
  <si>
    <t xml:space="preserve">2.1</t>
  </si>
  <si>
    <t xml:space="preserve">2.2</t>
  </si>
  <si>
    <t xml:space="preserve">2.3</t>
  </si>
  <si>
    <t xml:space="preserve">2.4</t>
  </si>
  <si>
    <t xml:space="preserve">2.5</t>
  </si>
  <si>
    <t xml:space="preserve">2.6</t>
  </si>
  <si>
    <t xml:space="preserve">2.7</t>
  </si>
  <si>
    <t xml:space="preserve">2.8</t>
  </si>
  <si>
    <t xml:space="preserve">2.9</t>
  </si>
  <si>
    <t xml:space="preserve">ALVENARIAS, REFORÇOS E REBOCOS</t>
  </si>
  <si>
    <t xml:space="preserve">3.1</t>
  </si>
  <si>
    <t xml:space="preserve">3.2</t>
  </si>
  <si>
    <t xml:space="preserve">3.3</t>
  </si>
  <si>
    <t xml:space="preserve">3.4</t>
  </si>
  <si>
    <t xml:space="preserve">3.5</t>
  </si>
  <si>
    <t xml:space="preserve">3.6</t>
  </si>
  <si>
    <t xml:space="preserve">3.7</t>
  </si>
  <si>
    <t xml:space="preserve">ESQUADRIAS</t>
  </si>
  <si>
    <t xml:space="preserve">4.1</t>
  </si>
  <si>
    <t xml:space="preserve">4.2</t>
  </si>
  <si>
    <t xml:space="preserve">4.3</t>
  </si>
  <si>
    <t xml:space="preserve">4.4</t>
  </si>
  <si>
    <t xml:space="preserve">4.5</t>
  </si>
  <si>
    <t xml:space="preserve">4.6</t>
  </si>
  <si>
    <t xml:space="preserve">4.7</t>
  </si>
  <si>
    <t xml:space="preserve">4.8</t>
  </si>
  <si>
    <t xml:space="preserve">4.9</t>
  </si>
  <si>
    <t xml:space="preserve">INSTALAÇÕES HIDROSSANITÁRIAS</t>
  </si>
  <si>
    <t xml:space="preserve">5.1</t>
  </si>
  <si>
    <t xml:space="preserve">5.2</t>
  </si>
  <si>
    <t xml:space="preserve">5.3</t>
  </si>
  <si>
    <t xml:space="preserve">5.4</t>
  </si>
  <si>
    <t xml:space="preserve">5.5</t>
  </si>
  <si>
    <t xml:space="preserve">5.6</t>
  </si>
  <si>
    <t xml:space="preserve">5.7</t>
  </si>
  <si>
    <t xml:space="preserve">5.8</t>
  </si>
  <si>
    <t xml:space="preserve">5.9</t>
  </si>
  <si>
    <t xml:space="preserve">5.11</t>
  </si>
  <si>
    <t xml:space="preserve">5.12</t>
  </si>
  <si>
    <t xml:space="preserve">5.13</t>
  </si>
  <si>
    <t xml:space="preserve">5.14</t>
  </si>
  <si>
    <t xml:space="preserve">5.15</t>
  </si>
  <si>
    <t xml:space="preserve">5.16</t>
  </si>
  <si>
    <t xml:space="preserve">5.17</t>
  </si>
  <si>
    <t xml:space="preserve">5.18</t>
  </si>
  <si>
    <t xml:space="preserve">5.19</t>
  </si>
  <si>
    <t xml:space="preserve">5.20</t>
  </si>
  <si>
    <t xml:space="preserve">5.21</t>
  </si>
  <si>
    <t xml:space="preserve">5.22</t>
  </si>
  <si>
    <t xml:space="preserve">5.23</t>
  </si>
  <si>
    <t xml:space="preserve">5.24</t>
  </si>
  <si>
    <t xml:space="preserve">5.25</t>
  </si>
  <si>
    <t xml:space="preserve">INSTALAÇÕES ELÉTRICAS</t>
  </si>
  <si>
    <t xml:space="preserve">6.1</t>
  </si>
  <si>
    <t xml:space="preserve">6.2</t>
  </si>
  <si>
    <t xml:space="preserve">6.3</t>
  </si>
  <si>
    <t xml:space="preserve">6.4</t>
  </si>
  <si>
    <t xml:space="preserve">6.5</t>
  </si>
  <si>
    <t xml:space="preserve">6.6</t>
  </si>
  <si>
    <t xml:space="preserve">6.7</t>
  </si>
  <si>
    <t xml:space="preserve">6.8</t>
  </si>
  <si>
    <t xml:space="preserve">6.9</t>
  </si>
  <si>
    <t xml:space="preserve">6.10</t>
  </si>
  <si>
    <t xml:space="preserve">6.11</t>
  </si>
  <si>
    <t xml:space="preserve">6.12</t>
  </si>
  <si>
    <t xml:space="preserve">6.13</t>
  </si>
  <si>
    <t xml:space="preserve">6.14</t>
  </si>
  <si>
    <t xml:space="preserve">6.15</t>
  </si>
  <si>
    <t xml:space="preserve">6.16</t>
  </si>
  <si>
    <t xml:space="preserve">6.17</t>
  </si>
  <si>
    <t xml:space="preserve">6.18</t>
  </si>
  <si>
    <t xml:space="preserve">6.19</t>
  </si>
  <si>
    <t xml:space="preserve">6.20</t>
  </si>
  <si>
    <t xml:space="preserve">REVESTIMENTOS</t>
  </si>
  <si>
    <t xml:space="preserve">7.1</t>
  </si>
  <si>
    <t xml:space="preserve">7.2</t>
  </si>
  <si>
    <t xml:space="preserve">7.3</t>
  </si>
  <si>
    <t xml:space="preserve">7.4</t>
  </si>
  <si>
    <t xml:space="preserve">7.5</t>
  </si>
  <si>
    <t xml:space="preserve">7.6</t>
  </si>
  <si>
    <t xml:space="preserve">7.7</t>
  </si>
  <si>
    <t xml:space="preserve">7.8</t>
  </si>
  <si>
    <t xml:space="preserve">7.9</t>
  </si>
  <si>
    <t xml:space="preserve">7.10</t>
  </si>
  <si>
    <t xml:space="preserve">7.11</t>
  </si>
  <si>
    <t xml:space="preserve">LOUÇAS, METAIS E EQUIPAMENTOS</t>
  </si>
  <si>
    <t xml:space="preserve">8.1</t>
  </si>
  <si>
    <t xml:space="preserve">8.2</t>
  </si>
  <si>
    <t xml:space="preserve">SERVIÇOS FINAIS</t>
  </si>
  <si>
    <t xml:space="preserve">9.1</t>
  </si>
  <si>
    <t xml:space="preserve">9.2</t>
  </si>
  <si>
    <t xml:space="preserve">9.3</t>
  </si>
  <si>
    <t xml:space="preserve">TOTAL:</t>
  </si>
  <si>
    <t xml:space="preserve">Campo Bom,</t>
  </si>
</sst>
</file>

<file path=xl/styles.xml><?xml version="1.0" encoding="utf-8"?>
<styleSheet xmlns="http://schemas.openxmlformats.org/spreadsheetml/2006/main">
  <numFmts count="11">
    <numFmt numFmtId="164" formatCode="General"/>
    <numFmt numFmtId="165" formatCode="General"/>
    <numFmt numFmtId="166" formatCode="0%"/>
    <numFmt numFmtId="167" formatCode="0.00"/>
    <numFmt numFmtId="168" formatCode="mmm/yy"/>
    <numFmt numFmtId="169" formatCode="_-&quot;R$&quot;* #,##0.00_-;&quot;-R$&quot;* #,##0.00_-;_-&quot;R$&quot;* \-??_-;_-@_-"/>
    <numFmt numFmtId="170" formatCode="#,##0.00"/>
    <numFmt numFmtId="171" formatCode="#,##0"/>
    <numFmt numFmtId="172" formatCode="_-* #,##0.00_-;\-* #,##0.00_-;_-* \-??_-;_-@_-"/>
    <numFmt numFmtId="173" formatCode="_-&quot;R$ &quot;* #,##0.00_-;&quot;-R$ &quot;* #,##0.00_-;_-&quot;R$ &quot;* \-??_-;_-@_-"/>
    <numFmt numFmtId="174" formatCode="[$-F800]dddd&quot;, &quot;mmmm\ dd&quot;, &quot;yyyy"/>
  </numFmts>
  <fonts count="15">
    <font>
      <sz val="11"/>
      <color theme="1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2"/>
      <charset val="1"/>
    </font>
    <font>
      <b val="true"/>
      <sz val="14"/>
      <color rgb="FF000000"/>
      <name val="Arial"/>
      <family val="2"/>
      <charset val="1"/>
    </font>
    <font>
      <sz val="11"/>
      <color rgb="FF000000"/>
      <name val="Calibri"/>
      <family val="2"/>
      <charset val="1"/>
    </font>
    <font>
      <b val="true"/>
      <sz val="10"/>
      <color rgb="FF000000"/>
      <name val="Arial"/>
      <family val="2"/>
      <charset val="1"/>
    </font>
    <font>
      <sz val="10"/>
      <color rgb="FF000000"/>
      <name val="Arial"/>
      <family val="2"/>
      <charset val="1"/>
    </font>
    <font>
      <sz val="9"/>
      <name val="Arial"/>
      <family val="2"/>
      <charset val="1"/>
    </font>
    <font>
      <b val="true"/>
      <sz val="9"/>
      <color rgb="FFFFFFFF"/>
      <name val="Arial"/>
      <family val="2"/>
      <charset val="1"/>
    </font>
    <font>
      <b val="true"/>
      <sz val="9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sz val="9"/>
      <color rgb="FF000000"/>
      <name val="Calibri"/>
      <family val="2"/>
      <charset val="1"/>
    </font>
  </fonts>
  <fills count="7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4F6228"/>
        <bgColor rgb="FF333333"/>
      </patternFill>
    </fill>
    <fill>
      <patternFill patternType="solid">
        <fgColor rgb="FF808080"/>
        <bgColor rgb="FF969696"/>
      </patternFill>
    </fill>
    <fill>
      <patternFill patternType="solid">
        <fgColor rgb="FFD7E4BD"/>
        <bgColor rgb="FFCCCCFF"/>
      </patternFill>
    </fill>
    <fill>
      <patternFill patternType="solid">
        <fgColor rgb="FFFFFFFF"/>
        <bgColor rgb="FFFFFFCC"/>
      </patternFill>
    </fill>
  </fills>
  <borders count="15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/>
      <right style="hair"/>
      <top style="thin"/>
      <bottom style="thin"/>
      <diagonal/>
    </border>
    <border diagonalUp="false" diagonalDown="false">
      <left style="hair"/>
      <right style="hair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72" fontId="0" fillId="0" borderId="0" applyFont="true" applyBorder="fals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6" fontId="0" fillId="0" borderId="0" applyFont="true" applyBorder="false" applyAlignment="true" applyProtection="false">
      <alignment horizontal="general" vertical="bottom" textRotation="0" wrapText="false" indent="0" shrinkToFit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7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2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3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8" fillId="2" borderId="4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8" fillId="2" borderId="5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2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4" fillId="2" borderId="6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7" fillId="2" borderId="7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7" fillId="2" borderId="1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7" fillId="2" borderId="1" xfId="21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7" fontId="4" fillId="2" borderId="8" xfId="19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8" fontId="7" fillId="2" borderId="9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6" fillId="0" borderId="0" xfId="21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21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8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9" fontId="8" fillId="0" borderId="0" xfId="21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2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7" fillId="2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7" fillId="2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0" fontId="9" fillId="2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9" fillId="2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7" fillId="0" borderId="11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7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9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9" fontId="4" fillId="0" borderId="1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3" borderId="2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10" fillId="3" borderId="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1" fontId="10" fillId="3" borderId="13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14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14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9" fontId="10" fillId="4" borderId="10" xfId="15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1" fontId="10" fillId="3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1" fontId="9" fillId="5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9" fillId="5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9" fillId="0" borderId="10" xfId="2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5" fontId="9" fillId="6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5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6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3" fontId="9" fillId="5" borderId="10" xfId="21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73" fontId="11" fillId="6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6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6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0" fontId="9" fillId="6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9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9" fillId="6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73" fontId="11" fillId="6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5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1" fontId="9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1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70" fontId="9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3" fontId="9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2" xfId="21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0" fillId="3" borderId="1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0" fillId="3" borderId="1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3" borderId="6" xfId="21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3" fontId="10" fillId="3" borderId="10" xfId="21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3" fontId="10" fillId="3" borderId="10" xfId="21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70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2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0" xfId="21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9" fontId="13" fillId="0" borderId="0" xfId="21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3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9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4" fontId="9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Normal 2" xfId="20"/>
    <cellStyle name="Excel Built-in Normal" xfId="2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4F6228"/>
      <rgbColor rgb="FF800080"/>
      <rgbColor rgb="FF008080"/>
      <rgbColor rgb="FFBFBFBF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Tema do Office">
  <a:themeElements>
    <a:clrScheme name="Escritório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 pitchFamily="0" charset="1"/>
        <a:ea typeface=""/>
        <a:cs typeface=""/>
      </a:majorFont>
      <a:minorFont>
        <a:latin typeface="Calibri" panose="020F0502020204030204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 l="0" t="0" r="0" b="0"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 l="0" t="0" r="0" b="0"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 l="0" t="0" r="0" b="0"/>
        </a:gra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S115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T15" activeCellId="0" sqref="T15"/>
    </sheetView>
  </sheetViews>
  <sheetFormatPr defaultColWidth="8.6796875" defaultRowHeight="15" zeroHeight="false" outlineLevelRow="0" outlineLevelCol="0"/>
  <cols>
    <col collapsed="false" customWidth="true" hidden="false" outlineLevel="0" max="1" min="1" style="0" width="7.86"/>
    <col collapsed="false" customWidth="true" hidden="false" outlineLevel="0" max="2" min="2" style="0" width="11.14"/>
    <col collapsed="false" customWidth="true" hidden="false" outlineLevel="0" max="3" min="3" style="0" width="8.42"/>
    <col collapsed="false" customWidth="true" hidden="false" outlineLevel="0" max="4" min="4" style="0" width="52.71"/>
    <col collapsed="false" customWidth="true" hidden="false" outlineLevel="0" max="5" min="5" style="0" width="6.71"/>
    <col collapsed="false" customWidth="true" hidden="false" outlineLevel="0" max="6" min="6" style="0" width="8"/>
    <col collapsed="false" customWidth="true" hidden="false" outlineLevel="0" max="7" min="7" style="0" width="11.43"/>
    <col collapsed="false" customWidth="true" hidden="false" outlineLevel="0" max="8" min="8" style="0" width="10"/>
    <col collapsed="false" customWidth="true" hidden="false" outlineLevel="0" max="9" min="9" style="0" width="11.43"/>
    <col collapsed="false" customWidth="true" hidden="false" outlineLevel="0" max="10" min="10" style="0" width="12.86"/>
    <col collapsed="false" customWidth="true" hidden="false" outlineLevel="0" max="11" min="11" style="0" width="11.85"/>
    <col collapsed="false" customWidth="true" hidden="false" outlineLevel="0" max="12" min="12" style="0" width="12.86"/>
    <col collapsed="false" customWidth="true" hidden="false" outlineLevel="0" max="13" min="13" style="0" width="11.43"/>
    <col collapsed="false" customWidth="true" hidden="false" outlineLevel="0" max="14" min="14" style="0" width="10"/>
    <col collapsed="false" customWidth="true" hidden="false" outlineLevel="0" max="15" min="15" style="0" width="11.43"/>
    <col collapsed="false" customWidth="true" hidden="false" outlineLevel="0" max="16" min="16" style="0" width="8.86"/>
    <col collapsed="false" customWidth="true" hidden="false" outlineLevel="0" max="17" min="17" style="0" width="13.42"/>
    <col collapsed="false" customWidth="true" hidden="false" outlineLevel="0" max="18" min="18" style="0" width="12.29"/>
    <col collapsed="false" customWidth="true" hidden="false" outlineLevel="0" max="19" min="19" style="0" width="13.42"/>
  </cols>
  <sheetData>
    <row r="1" customFormat="false" ht="17.35" hidden="false" customHeight="true" outlineLevel="0" collapsed="false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customFormat="false" ht="17.35" hidden="false" customHeight="false" outlineLevel="0" collapsed="false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</row>
    <row r="3" customFormat="false" ht="23.85" hidden="false" customHeight="false" outlineLevel="0" collapsed="false">
      <c r="A3" s="3" t="s">
        <v>1</v>
      </c>
      <c r="B3" s="4"/>
      <c r="C3" s="5" t="str">
        <f aca="false">Plan1!B1</f>
        <v>Reforma dos Alojamentos da Brigada Militar de Campo Bom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6" t="s">
        <v>2</v>
      </c>
      <c r="Q3" s="7" t="s">
        <v>3</v>
      </c>
      <c r="R3" s="8" t="s">
        <v>4</v>
      </c>
      <c r="S3" s="9" t="n">
        <f aca="false">Plan1!G52</f>
        <v>26.32</v>
      </c>
    </row>
    <row r="4" customFormat="false" ht="15" hidden="false" customHeight="false" outlineLevel="0" collapsed="false">
      <c r="A4" s="10" t="s">
        <v>5</v>
      </c>
      <c r="B4" s="11"/>
      <c r="C4" s="12" t="str">
        <f aca="false">Plan1!B2</f>
        <v>Av. São Leopoldo, 771</v>
      </c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3" t="s">
        <v>6</v>
      </c>
      <c r="Q4" s="14" t="n">
        <f aca="false">Plan1!B3</f>
        <v>45444</v>
      </c>
      <c r="R4" s="8" t="s">
        <v>7</v>
      </c>
      <c r="S4" s="9"/>
    </row>
    <row r="5" customFormat="false" ht="15" hidden="false" customHeight="false" outlineLevel="0" collapsed="false">
      <c r="A5" s="15"/>
      <c r="B5" s="15"/>
      <c r="C5" s="16"/>
      <c r="D5" s="16"/>
      <c r="E5" s="16"/>
      <c r="F5" s="16"/>
      <c r="G5" s="16"/>
      <c r="H5" s="16"/>
      <c r="I5" s="16"/>
      <c r="J5" s="16"/>
      <c r="K5" s="16"/>
      <c r="L5" s="16"/>
      <c r="M5" s="16"/>
      <c r="N5" s="16"/>
      <c r="O5" s="16"/>
      <c r="P5" s="17"/>
      <c r="Q5" s="17"/>
      <c r="R5" s="17"/>
      <c r="S5" s="18"/>
    </row>
    <row r="6" customFormat="false" ht="23.85" hidden="false" customHeight="true" outlineLevel="0" collapsed="false">
      <c r="A6" s="19" t="s">
        <v>8</v>
      </c>
      <c r="B6" s="19" t="s">
        <v>9</v>
      </c>
      <c r="C6" s="19" t="s">
        <v>10</v>
      </c>
      <c r="D6" s="19" t="s">
        <v>11</v>
      </c>
      <c r="E6" s="19" t="s">
        <v>12</v>
      </c>
      <c r="F6" s="20" t="s">
        <v>13</v>
      </c>
      <c r="G6" s="21" t="s">
        <v>14</v>
      </c>
      <c r="H6" s="21"/>
      <c r="I6" s="21"/>
      <c r="J6" s="21" t="s">
        <v>15</v>
      </c>
      <c r="K6" s="21"/>
      <c r="L6" s="21"/>
      <c r="M6" s="21" t="s">
        <v>16</v>
      </c>
      <c r="N6" s="21"/>
      <c r="O6" s="21"/>
      <c r="P6" s="21" t="s">
        <v>17</v>
      </c>
      <c r="Q6" s="21" t="s">
        <v>18</v>
      </c>
      <c r="R6" s="21"/>
      <c r="S6" s="21"/>
    </row>
    <row r="7" customFormat="false" ht="22.35" hidden="false" customHeight="false" outlineLevel="0" collapsed="false">
      <c r="A7" s="19"/>
      <c r="B7" s="19"/>
      <c r="C7" s="19"/>
      <c r="D7" s="19"/>
      <c r="E7" s="19"/>
      <c r="F7" s="20"/>
      <c r="G7" s="22" t="s">
        <v>19</v>
      </c>
      <c r="H7" s="22" t="s">
        <v>20</v>
      </c>
      <c r="I7" s="23" t="s">
        <v>21</v>
      </c>
      <c r="J7" s="23" t="s">
        <v>19</v>
      </c>
      <c r="K7" s="23" t="s">
        <v>20</v>
      </c>
      <c r="L7" s="23" t="s">
        <v>21</v>
      </c>
      <c r="M7" s="22" t="s">
        <v>19</v>
      </c>
      <c r="N7" s="22" t="s">
        <v>20</v>
      </c>
      <c r="O7" s="23" t="s">
        <v>21</v>
      </c>
      <c r="P7" s="21"/>
      <c r="Q7" s="22" t="s">
        <v>19</v>
      </c>
      <c r="R7" s="22" t="s">
        <v>20</v>
      </c>
      <c r="S7" s="23" t="s">
        <v>21</v>
      </c>
    </row>
    <row r="8" customFormat="false" ht="15" hidden="false" customHeight="false" outlineLevel="0" collapsed="false">
      <c r="A8" s="24"/>
      <c r="B8" s="25"/>
      <c r="C8" s="25"/>
      <c r="D8" s="25"/>
      <c r="E8" s="25"/>
      <c r="F8" s="26"/>
      <c r="G8" s="27"/>
      <c r="H8" s="28"/>
      <c r="I8" s="29"/>
      <c r="J8" s="29"/>
      <c r="K8" s="29"/>
      <c r="L8" s="29"/>
      <c r="M8" s="27"/>
      <c r="N8" s="28"/>
      <c r="O8" s="29"/>
      <c r="P8" s="29"/>
      <c r="Q8" s="27"/>
      <c r="R8" s="28"/>
      <c r="S8" s="30"/>
    </row>
    <row r="9" customFormat="false" ht="15" hidden="false" customHeight="false" outlineLevel="0" collapsed="false">
      <c r="A9" s="31" t="n">
        <v>1</v>
      </c>
      <c r="B9" s="32"/>
      <c r="C9" s="33"/>
      <c r="D9" s="34" t="s">
        <v>22</v>
      </c>
      <c r="E9" s="34"/>
      <c r="F9" s="35"/>
      <c r="G9" s="36"/>
      <c r="H9" s="36"/>
      <c r="I9" s="36"/>
      <c r="J9" s="36" t="n">
        <f aca="false">ROUND(SUM(J10:J10),2)</f>
        <v>0</v>
      </c>
      <c r="K9" s="36" t="n">
        <f aca="false">ROUND(SUM(K10:K10),2)</f>
        <v>0</v>
      </c>
      <c r="L9" s="36" t="n">
        <f aca="false">ROUND(SUM(L10:L10),2)</f>
        <v>0</v>
      </c>
      <c r="M9" s="36"/>
      <c r="N9" s="36"/>
      <c r="O9" s="36"/>
      <c r="P9" s="36"/>
      <c r="Q9" s="36" t="n">
        <f aca="false">ROUND((SUM(Q10:Q10)),2)</f>
        <v>0</v>
      </c>
      <c r="R9" s="36" t="n">
        <f aca="false">ROUND((SUM(R10:R10)),2)</f>
        <v>0</v>
      </c>
      <c r="S9" s="36" t="n">
        <f aca="false">ROUND((SUM(S10:S10)),2)</f>
        <v>0</v>
      </c>
    </row>
    <row r="10" customFormat="false" ht="15" hidden="false" customHeight="false" outlineLevel="0" collapsed="false">
      <c r="A10" s="37" t="s">
        <v>23</v>
      </c>
      <c r="B10" s="38" t="s">
        <v>24</v>
      </c>
      <c r="C10" s="39" t="n">
        <v>1</v>
      </c>
      <c r="D10" s="40" t="str">
        <f aca="false">IF(B10="SINAPI",(VLOOKUP(C10,Plan1!$B:$G,2,0)),(IF(B10="COMPOSIÇÃO",((VLOOKUP(C10,Plan1!$B:$L,3,0))),(VLOOKUP(C10,Plan1!$B:$L,2,0)))))</f>
        <v>PLACA DE OBRA EM AÇO GALVANIZADO COM 4M2</v>
      </c>
      <c r="E10" s="41" t="str">
        <f aca="false">IF(B10="SINAPI",(VLOOKUP(C10,Plan1!$B:$G,3,0)),(IF(B10="COMPOSIÇÃO",((VLOOKUP(C10,Plan1!$B:$L,4,0))),(VLOOKUP(C10,Plan1!$B:$L,5,0)))))</f>
        <v>UN</v>
      </c>
      <c r="F10" s="42" t="n">
        <v>1</v>
      </c>
      <c r="G10" s="43"/>
      <c r="H10" s="43"/>
      <c r="I10" s="43" t="n">
        <f aca="false">ROUND((H10+G10),2)</f>
        <v>0</v>
      </c>
      <c r="J10" s="43" t="n">
        <f aca="false">ROUND((G10*F10),2)</f>
        <v>0</v>
      </c>
      <c r="K10" s="43" t="n">
        <f aca="false">ROUND((H10*F10),2)</f>
        <v>0</v>
      </c>
      <c r="L10" s="43" t="n">
        <f aca="false">ROUND((K10+J10),2)</f>
        <v>0</v>
      </c>
      <c r="M10" s="43" t="n">
        <f aca="false">ROUND((IF(P10="BDI 1",((1+($S$3/100))*G10),((1+($S$4/100))*G10))),2)</f>
        <v>0</v>
      </c>
      <c r="N10" s="43" t="n">
        <f aca="false">ROUND((IF(P10="BDI 1",((1+($S$3/100))*H10),((1+($S$4/100))*H10))),2)</f>
        <v>0</v>
      </c>
      <c r="O10" s="43" t="n">
        <f aca="false">ROUND((M10+N10),2)</f>
        <v>0</v>
      </c>
      <c r="P10" s="44" t="s">
        <v>25</v>
      </c>
      <c r="Q10" s="43" t="n">
        <f aca="false">ROUND(M10*F10,2)</f>
        <v>0</v>
      </c>
      <c r="R10" s="43" t="n">
        <f aca="false">ROUND(N10*F10,2)</f>
        <v>0</v>
      </c>
      <c r="S10" s="45" t="n">
        <f aca="false">ROUND(Q10+R10,2)</f>
        <v>0</v>
      </c>
    </row>
    <row r="11" customFormat="false" ht="15" hidden="false" customHeight="false" outlineLevel="0" collapsed="false">
      <c r="A11" s="46"/>
      <c r="B11" s="46"/>
      <c r="C11" s="47"/>
      <c r="D11" s="48"/>
      <c r="E11" s="49"/>
      <c r="F11" s="50"/>
      <c r="G11" s="50"/>
      <c r="H11" s="50"/>
      <c r="I11" s="51"/>
      <c r="J11" s="51"/>
      <c r="K11" s="51"/>
      <c r="L11" s="51"/>
      <c r="M11" s="52"/>
      <c r="N11" s="52"/>
      <c r="O11" s="52"/>
      <c r="P11" s="52"/>
      <c r="Q11" s="52"/>
      <c r="R11" s="52"/>
      <c r="S11" s="53"/>
    </row>
    <row r="12" customFormat="false" ht="15" hidden="false" customHeight="false" outlineLevel="0" collapsed="false">
      <c r="A12" s="31" t="n">
        <v>2</v>
      </c>
      <c r="B12" s="32"/>
      <c r="C12" s="33"/>
      <c r="D12" s="34" t="s">
        <v>26</v>
      </c>
      <c r="E12" s="34"/>
      <c r="F12" s="35"/>
      <c r="G12" s="36"/>
      <c r="H12" s="36"/>
      <c r="I12" s="36"/>
      <c r="J12" s="36" t="n">
        <f aca="false">ROUND(SUM(J13:J21),2)</f>
        <v>0</v>
      </c>
      <c r="K12" s="36" t="n">
        <f aca="false">ROUND(SUM(K13:K21),2)</f>
        <v>0</v>
      </c>
      <c r="L12" s="36" t="n">
        <f aca="false">ROUND(SUM(L13:L21),2)</f>
        <v>0</v>
      </c>
      <c r="M12" s="36"/>
      <c r="N12" s="36"/>
      <c r="O12" s="36"/>
      <c r="P12" s="36"/>
      <c r="Q12" s="36" t="n">
        <f aca="false">ROUND((SUM(Q13:Q21)),2)</f>
        <v>0</v>
      </c>
      <c r="R12" s="36" t="n">
        <f aca="false">ROUND((SUM(R13:R21)),2)</f>
        <v>0</v>
      </c>
      <c r="S12" s="36" t="n">
        <f aca="false">ROUND((SUM(S13:S21)),2)</f>
        <v>0</v>
      </c>
    </row>
    <row r="13" customFormat="false" ht="22.35" hidden="false" customHeight="false" outlineLevel="0" collapsed="false">
      <c r="A13" s="37" t="s">
        <v>27</v>
      </c>
      <c r="B13" s="38" t="s">
        <v>6</v>
      </c>
      <c r="C13" s="39" t="n">
        <v>97663</v>
      </c>
      <c r="D13" s="40" t="str">
        <f aca="false">IF(B13="SINAPI",(VLOOKUP(C13,Plan1!$B:$G,2,0)),(IF(B13="COMPOSIÇÃO",((VLOOKUP(C13,Plan1!$B:$L,3,0))),(VLOOKUP(C13,Plan1!$B:$L,2,0)))))</f>
        <v>REMOÇÃO DE LOUÇAS, DE FORMA MANUAL, SEM REAPROVEITAMENTO. AF_09/2023</v>
      </c>
      <c r="E13" s="41" t="str">
        <f aca="false">IF(B13="SINAPI",(VLOOKUP(C13,Plan1!$B:$G,3,0)),(IF(B13="COMPOSIÇÃO",((VLOOKUP(C13,Plan1!$B:$L,4,0))),(VLOOKUP(C13,Plan1!$B:$L,5,0)))))</f>
        <v>UN</v>
      </c>
      <c r="F13" s="42" t="n">
        <v>11</v>
      </c>
      <c r="G13" s="43"/>
      <c r="H13" s="43"/>
      <c r="I13" s="43" t="n">
        <f aca="false">ROUND((H13+G13),2)</f>
        <v>0</v>
      </c>
      <c r="J13" s="43" t="n">
        <f aca="false">ROUND((G13*F13),2)</f>
        <v>0</v>
      </c>
      <c r="K13" s="43" t="n">
        <f aca="false">ROUND((H13*F13),2)</f>
        <v>0</v>
      </c>
      <c r="L13" s="43" t="n">
        <f aca="false">ROUND((K13+J13),2)</f>
        <v>0</v>
      </c>
      <c r="M13" s="43" t="n">
        <f aca="false">ROUND((IF(P13="BDI 1",((1+($S$3/100))*G13),((1+($S$4/100))*G13))),2)</f>
        <v>0</v>
      </c>
      <c r="N13" s="43" t="n">
        <f aca="false">ROUND((IF(P13="BDI 1",((1+($S$3/100))*H13),((1+($S$4/100))*H13))),2)</f>
        <v>0</v>
      </c>
      <c r="O13" s="43" t="n">
        <f aca="false">ROUND((M13+N13),2)</f>
        <v>0</v>
      </c>
      <c r="P13" s="44" t="s">
        <v>25</v>
      </c>
      <c r="Q13" s="43" t="n">
        <f aca="false">ROUND(M13*F13,2)</f>
        <v>0</v>
      </c>
      <c r="R13" s="43" t="n">
        <f aca="false">ROUND(N13*F13,2)</f>
        <v>0</v>
      </c>
      <c r="S13" s="45" t="n">
        <f aca="false">ROUND(Q13+R13,2)</f>
        <v>0</v>
      </c>
    </row>
    <row r="14" customFormat="false" ht="22.35" hidden="false" customHeight="false" outlineLevel="0" collapsed="false">
      <c r="A14" s="37" t="s">
        <v>28</v>
      </c>
      <c r="B14" s="38" t="s">
        <v>6</v>
      </c>
      <c r="C14" s="39" t="n">
        <v>97666</v>
      </c>
      <c r="D14" s="40" t="str">
        <f aca="false">IF(B14="SINAPI",(VLOOKUP(C14,Plan1!$B:$G,2,0)),(IF(B14="COMPOSIÇÃO",((VLOOKUP(C14,Plan1!$B:$L,3,0))),(VLOOKUP(C14,Plan1!$B:$L,2,0)))))</f>
        <v>REMOÇÃO DE METAIS SANITÁRIOS, DE FORMA MANUAL, SEM REAPROVEITAMENTO. AF_09/2023</v>
      </c>
      <c r="E14" s="41" t="str">
        <f aca="false">IF(B14="SINAPI",(VLOOKUP(C14,Plan1!$B:$G,3,0)),(IF(B14="COMPOSIÇÃO",((VLOOKUP(C14,Plan1!$B:$L,4,0))),(VLOOKUP(C14,Plan1!$B:$L,5,0)))))</f>
        <v>UN</v>
      </c>
      <c r="F14" s="42" t="n">
        <v>4</v>
      </c>
      <c r="G14" s="43"/>
      <c r="H14" s="43"/>
      <c r="I14" s="43" t="n">
        <f aca="false">ROUND((H14+G14),2)</f>
        <v>0</v>
      </c>
      <c r="J14" s="43" t="n">
        <f aca="false">ROUND((G14*F14),2)</f>
        <v>0</v>
      </c>
      <c r="K14" s="43" t="n">
        <f aca="false">ROUND((H14*F14),2)</f>
        <v>0</v>
      </c>
      <c r="L14" s="43" t="n">
        <f aca="false">ROUND((K14+J14),2)</f>
        <v>0</v>
      </c>
      <c r="M14" s="43" t="n">
        <f aca="false">ROUND((IF(P14="BDI 1",((1+($S$3/100))*G14),((1+($S$4/100))*G14))),2)</f>
        <v>0</v>
      </c>
      <c r="N14" s="43" t="n">
        <f aca="false">ROUND((IF(P14="BDI 1",((1+($S$3/100))*H14),((1+($S$4/100))*H14))),2)</f>
        <v>0</v>
      </c>
      <c r="O14" s="43" t="n">
        <f aca="false">ROUND((M14+N14),2)</f>
        <v>0</v>
      </c>
      <c r="P14" s="44" t="s">
        <v>25</v>
      </c>
      <c r="Q14" s="43" t="n">
        <f aca="false">ROUND(M14*F14,2)</f>
        <v>0</v>
      </c>
      <c r="R14" s="43" t="n">
        <f aca="false">ROUND(N14*F14,2)</f>
        <v>0</v>
      </c>
      <c r="S14" s="45" t="n">
        <f aca="false">ROUND(Q14+R14,2)</f>
        <v>0</v>
      </c>
    </row>
    <row r="15" customFormat="false" ht="22.35" hidden="false" customHeight="false" outlineLevel="0" collapsed="false">
      <c r="A15" s="37" t="s">
        <v>29</v>
      </c>
      <c r="B15" s="38" t="s">
        <v>6</v>
      </c>
      <c r="C15" s="54" t="n">
        <v>97640</v>
      </c>
      <c r="D15" s="40" t="str">
        <f aca="false">IF(B15="SINAPI",(VLOOKUP(C15,Plan1!$B:$G,2,0)),(IF(B15="COMPOSIÇÃO",((VLOOKUP(C15,Plan1!$B:$L,3,0))),(VLOOKUP(C15,Plan1!$B:$L,2,0)))))</f>
        <v>REMOÇÃO DE FORROS DE DRYWALL, PVC E FIBROMINERAL, DE FORMA MANUAL, SEM REAPROVEITAMENTO. AF_09/2023</v>
      </c>
      <c r="E15" s="41" t="str">
        <f aca="false">IF(B15="SINAPI",(VLOOKUP(C15,Plan1!$B:$G,3,0)),(IF(B15="COMPOSIÇÃO",((VLOOKUP(C15,Plan1!$B:$L,4,0))),(VLOOKUP(C15,Plan1!$B:$L,5,0)))))</f>
        <v>M2</v>
      </c>
      <c r="F15" s="42" t="n">
        <v>160.63</v>
      </c>
      <c r="G15" s="43"/>
      <c r="H15" s="43"/>
      <c r="I15" s="43" t="n">
        <f aca="false">ROUND((H15+G15),2)</f>
        <v>0</v>
      </c>
      <c r="J15" s="43" t="n">
        <f aca="false">ROUND((G15*F15),2)</f>
        <v>0</v>
      </c>
      <c r="K15" s="43" t="n">
        <f aca="false">ROUND((H15*F15),2)</f>
        <v>0</v>
      </c>
      <c r="L15" s="43" t="n">
        <f aca="false">ROUND((K15+J15),2)</f>
        <v>0</v>
      </c>
      <c r="M15" s="43" t="n">
        <f aca="false">ROUND((IF(P15="BDI 1",((1+($S$3/100))*G15),((1+($S$4/100))*G15))),2)</f>
        <v>0</v>
      </c>
      <c r="N15" s="43" t="n">
        <f aca="false">ROUND((IF(P15="BDI 1",((1+($S$3/100))*H15),((1+($S$4/100))*H15))),2)</f>
        <v>0</v>
      </c>
      <c r="O15" s="43" t="n">
        <f aca="false">ROUND((M15+N15),2)</f>
        <v>0</v>
      </c>
      <c r="P15" s="44" t="s">
        <v>25</v>
      </c>
      <c r="Q15" s="43" t="n">
        <f aca="false">ROUND(M15*F15,2)</f>
        <v>0</v>
      </c>
      <c r="R15" s="43" t="n">
        <f aca="false">ROUND(N15*F15,2)</f>
        <v>0</v>
      </c>
      <c r="S15" s="45" t="n">
        <f aca="false">ROUND(Q15+R15,2)</f>
        <v>0</v>
      </c>
    </row>
    <row r="16" customFormat="false" ht="22.35" hidden="false" customHeight="false" outlineLevel="0" collapsed="false">
      <c r="A16" s="37" t="s">
        <v>30</v>
      </c>
      <c r="B16" s="38" t="s">
        <v>6</v>
      </c>
      <c r="C16" s="39" t="n">
        <v>97644</v>
      </c>
      <c r="D16" s="40" t="str">
        <f aca="false">IF(B16="SINAPI",(VLOOKUP(C16,Plan1!$B:$G,2,0)),(IF(B16="COMPOSIÇÃO",((VLOOKUP(C16,Plan1!$B:$L,3,0))),(VLOOKUP(C16,Plan1!$B:$L,2,0)))))</f>
        <v>REMOÇÃO DE PORTAS, DE FORMA MANUAL, SEM REAPROVEITAMENTO. AF_09/2023</v>
      </c>
      <c r="E16" s="41" t="str">
        <f aca="false">IF(B16="SINAPI",(VLOOKUP(C16,Plan1!$B:$G,3,0)),(IF(B16="COMPOSIÇÃO",((VLOOKUP(C16,Plan1!$B:$L,4,0))),(VLOOKUP(C16,Plan1!$B:$L,5,0)))))</f>
        <v>M2</v>
      </c>
      <c r="F16" s="42" t="n">
        <v>32.76</v>
      </c>
      <c r="G16" s="43"/>
      <c r="H16" s="43"/>
      <c r="I16" s="43" t="n">
        <f aca="false">ROUND((H16+G16),2)</f>
        <v>0</v>
      </c>
      <c r="J16" s="43" t="n">
        <f aca="false">ROUND((G16*F16),2)</f>
        <v>0</v>
      </c>
      <c r="K16" s="43" t="n">
        <f aca="false">ROUND((H16*F16),2)</f>
        <v>0</v>
      </c>
      <c r="L16" s="43" t="n">
        <f aca="false">ROUND((K16+J16),2)</f>
        <v>0</v>
      </c>
      <c r="M16" s="43" t="n">
        <f aca="false">ROUND((IF(P16="BDI 1",((1+($S$3/100))*G16),((1+($S$4/100))*G16))),2)</f>
        <v>0</v>
      </c>
      <c r="N16" s="43" t="n">
        <f aca="false">ROUND((IF(P16="BDI 1",((1+($S$3/100))*H16),((1+($S$4/100))*H16))),2)</f>
        <v>0</v>
      </c>
      <c r="O16" s="43" t="n">
        <f aca="false">ROUND((M16+N16),2)</f>
        <v>0</v>
      </c>
      <c r="P16" s="44" t="s">
        <v>25</v>
      </c>
      <c r="Q16" s="43" t="n">
        <f aca="false">ROUND(M16*F16,2)</f>
        <v>0</v>
      </c>
      <c r="R16" s="43" t="n">
        <f aca="false">ROUND(N16*F16,2)</f>
        <v>0</v>
      </c>
      <c r="S16" s="45" t="n">
        <f aca="false">ROUND(Q16+R16,2)</f>
        <v>0</v>
      </c>
    </row>
    <row r="17" customFormat="false" ht="22.35" hidden="false" customHeight="false" outlineLevel="0" collapsed="false">
      <c r="A17" s="37" t="s">
        <v>31</v>
      </c>
      <c r="B17" s="38" t="s">
        <v>6</v>
      </c>
      <c r="C17" s="39" t="n">
        <v>97645</v>
      </c>
      <c r="D17" s="40" t="str">
        <f aca="false">IF(B17="SINAPI",(VLOOKUP(C17,Plan1!$B:$G,2,0)),(IF(B17="COMPOSIÇÃO",((VLOOKUP(C17,Plan1!$B:$L,3,0))),(VLOOKUP(C17,Plan1!$B:$L,2,0)))))</f>
        <v>REMOÇÃO DE JANELAS, DE FORMA MANUAL, SEM REAPROVEITAMENTO. AF_09/2023</v>
      </c>
      <c r="E17" s="41" t="str">
        <f aca="false">IF(B17="SINAPI",(VLOOKUP(C17,Plan1!$B:$G,3,0)),(IF(B17="COMPOSIÇÃO",((VLOOKUP(C17,Plan1!$B:$L,4,0))),(VLOOKUP(C17,Plan1!$B:$L,5,0)))))</f>
        <v>M2</v>
      </c>
      <c r="F17" s="42" t="n">
        <v>8.93</v>
      </c>
      <c r="G17" s="43"/>
      <c r="H17" s="43"/>
      <c r="I17" s="43" t="n">
        <f aca="false">ROUND((H17+G17),2)</f>
        <v>0</v>
      </c>
      <c r="J17" s="43" t="n">
        <f aca="false">ROUND((G17*F17),2)</f>
        <v>0</v>
      </c>
      <c r="K17" s="43" t="n">
        <f aca="false">ROUND((H17*F17),2)</f>
        <v>0</v>
      </c>
      <c r="L17" s="43" t="n">
        <f aca="false">ROUND((K17+J17),2)</f>
        <v>0</v>
      </c>
      <c r="M17" s="43" t="n">
        <f aca="false">ROUND((IF(P17="BDI 1",((1+($S$3/100))*G17),((1+($S$4/100))*G17))),2)</f>
        <v>0</v>
      </c>
      <c r="N17" s="43" t="n">
        <f aca="false">ROUND((IF(P17="BDI 1",((1+($S$3/100))*H17),((1+($S$4/100))*H17))),2)</f>
        <v>0</v>
      </c>
      <c r="O17" s="43" t="n">
        <f aca="false">ROUND((M17+N17),2)</f>
        <v>0</v>
      </c>
      <c r="P17" s="44" t="s">
        <v>25</v>
      </c>
      <c r="Q17" s="43" t="n">
        <f aca="false">ROUND(M17*F17,2)</f>
        <v>0</v>
      </c>
      <c r="R17" s="43" t="n">
        <f aca="false">ROUND(N17*F17,2)</f>
        <v>0</v>
      </c>
      <c r="S17" s="45" t="n">
        <f aca="false">ROUND(Q17+R17,2)</f>
        <v>0</v>
      </c>
    </row>
    <row r="18" customFormat="false" ht="22.35" hidden="false" customHeight="false" outlineLevel="0" collapsed="false">
      <c r="A18" s="37" t="s">
        <v>32</v>
      </c>
      <c r="B18" s="38" t="s">
        <v>6</v>
      </c>
      <c r="C18" s="54" t="n">
        <v>97622</v>
      </c>
      <c r="D18" s="40" t="str">
        <f aca="false">IF(B18="SINAPI",(VLOOKUP(C18,Plan1!$B:$G,2,0)),(IF(B18="COMPOSIÇÃO",((VLOOKUP(C18,Plan1!$B:$L,3,0))),(VLOOKUP(C18,Plan1!$B:$L,2,0)))))</f>
        <v>DEMOLIÇÃO DE ALVENARIA DE BLOCO FURADO, DE FORMA MANUAL, SEM REAPROVEITAMENTO. AF_09/2023</v>
      </c>
      <c r="E18" s="41" t="str">
        <f aca="false">IF(B18="SINAPI",(VLOOKUP(C18,Plan1!$B:$G,3,0)),(IF(B18="COMPOSIÇÃO",((VLOOKUP(C18,Plan1!$B:$L,4,0))),(VLOOKUP(C18,Plan1!$B:$L,5,0)))))</f>
        <v>M3</v>
      </c>
      <c r="F18" s="42" t="n">
        <v>14.62</v>
      </c>
      <c r="G18" s="43"/>
      <c r="H18" s="43"/>
      <c r="I18" s="43" t="n">
        <f aca="false">ROUND((H18+G18),2)</f>
        <v>0</v>
      </c>
      <c r="J18" s="43" t="n">
        <f aca="false">ROUND((G18*F18),2)</f>
        <v>0</v>
      </c>
      <c r="K18" s="43" t="n">
        <f aca="false">ROUND((H18*F18),2)</f>
        <v>0</v>
      </c>
      <c r="L18" s="43" t="n">
        <f aca="false">ROUND((K18+J18),2)</f>
        <v>0</v>
      </c>
      <c r="M18" s="43" t="n">
        <f aca="false">ROUND((IF(P18="BDI 1",((1+($S$3/100))*G18),((1+($S$4/100))*G18))),2)</f>
        <v>0</v>
      </c>
      <c r="N18" s="43" t="n">
        <f aca="false">ROUND((IF(P18="BDI 1",((1+($S$3/100))*H18),((1+($S$4/100))*H18))),2)</f>
        <v>0</v>
      </c>
      <c r="O18" s="43" t="n">
        <f aca="false">ROUND((M18+N18),2)</f>
        <v>0</v>
      </c>
      <c r="P18" s="44" t="s">
        <v>25</v>
      </c>
      <c r="Q18" s="43" t="n">
        <f aca="false">ROUND(M18*F18,2)</f>
        <v>0</v>
      </c>
      <c r="R18" s="43" t="n">
        <f aca="false">ROUND(N18*F18,2)</f>
        <v>0</v>
      </c>
      <c r="S18" s="45" t="n">
        <f aca="false">ROUND(Q18+R18,2)</f>
        <v>0</v>
      </c>
    </row>
    <row r="19" customFormat="false" ht="22.35" hidden="false" customHeight="false" outlineLevel="0" collapsed="false">
      <c r="A19" s="37" t="s">
        <v>33</v>
      </c>
      <c r="B19" s="38" t="s">
        <v>6</v>
      </c>
      <c r="C19" s="39" t="n">
        <v>97633</v>
      </c>
      <c r="D19" s="40" t="str">
        <f aca="false">IF(B19="SINAPI",(VLOOKUP(C19,Plan1!$B:$G,2,0)),(IF(B19="COMPOSIÇÃO",((VLOOKUP(C19,Plan1!$B:$L,3,0))),(VLOOKUP(C19,Plan1!$B:$L,2,0)))))</f>
        <v>DEMOLIÇÃO DE REVESTIMENTO CERÂMICO, DE FORMA MANUAL, SEM REAPROVEITAMENTO. AF_09/2023</v>
      </c>
      <c r="E19" s="41" t="str">
        <f aca="false">IF(B19="SINAPI",(VLOOKUP(C19,Plan1!$B:$G,3,0)),(IF(B19="COMPOSIÇÃO",((VLOOKUP(C19,Plan1!$B:$L,4,0))),(VLOOKUP(C19,Plan1!$B:$L,5,0)))))</f>
        <v>M2</v>
      </c>
      <c r="F19" s="42" t="n">
        <v>275.72</v>
      </c>
      <c r="G19" s="43"/>
      <c r="H19" s="43"/>
      <c r="I19" s="43" t="n">
        <f aca="false">ROUND((H19+G19),2)</f>
        <v>0</v>
      </c>
      <c r="J19" s="43" t="n">
        <f aca="false">ROUND((G19*F19),2)</f>
        <v>0</v>
      </c>
      <c r="K19" s="43" t="n">
        <f aca="false">ROUND((H19*F19),2)</f>
        <v>0</v>
      </c>
      <c r="L19" s="43" t="n">
        <f aca="false">ROUND((K19+J19),2)</f>
        <v>0</v>
      </c>
      <c r="M19" s="43" t="n">
        <f aca="false">ROUND((IF(P19="BDI 1",((1+($S$3/100))*G19),((1+($S$4/100))*G19))),2)</f>
        <v>0</v>
      </c>
      <c r="N19" s="43" t="n">
        <f aca="false">ROUND((IF(P19="BDI 1",((1+($S$3/100))*H19),((1+($S$4/100))*H19))),2)</f>
        <v>0</v>
      </c>
      <c r="O19" s="43" t="n">
        <f aca="false">ROUND((M19+N19),2)</f>
        <v>0</v>
      </c>
      <c r="P19" s="44" t="s">
        <v>25</v>
      </c>
      <c r="Q19" s="43" t="n">
        <f aca="false">ROUND(M19*F19,2)</f>
        <v>0</v>
      </c>
      <c r="R19" s="43" t="n">
        <f aca="false">ROUND(N19*F19,2)</f>
        <v>0</v>
      </c>
      <c r="S19" s="45" t="n">
        <f aca="false">ROUND(Q19+R19,2)</f>
        <v>0</v>
      </c>
    </row>
    <row r="20" customFormat="false" ht="43.25" hidden="false" customHeight="false" outlineLevel="0" collapsed="false">
      <c r="A20" s="37" t="s">
        <v>34</v>
      </c>
      <c r="B20" s="38" t="s">
        <v>6</v>
      </c>
      <c r="C20" s="39" t="n">
        <v>100981</v>
      </c>
      <c r="D20" s="40" t="str">
        <f aca="false">IF(B20="SINAPI",(VLOOKUP(C20,Plan1!$B:$G,2,0)),(IF(B20="COMPOSIÇÃO",((VLOOKUP(C20,Plan1!$B:$L,3,0))),(VLOOKUP(C20,Plan1!$B:$L,2,0)))))</f>
        <v>CARGA, MANOBRA E DESCARGA DE ENTULHO EM CAMINHÃO BASCULANTE 6 M³ - CARGA COM ESCAVADEIRA HIDRÁULICA  (CAÇAMBA DE 0,80 M³ / 111 HP) E DESCARGA LIVRE (UNIDADE: M3). AF_07/2020</v>
      </c>
      <c r="E20" s="41" t="str">
        <f aca="false">IF(B20="SINAPI",(VLOOKUP(C20,Plan1!$B:$G,3,0)),(IF(B20="COMPOSIÇÃO",((VLOOKUP(C20,Plan1!$B:$L,4,0))),(VLOOKUP(C20,Plan1!$B:$L,5,0)))))</f>
        <v>M3</v>
      </c>
      <c r="F20" s="42" t="n">
        <v>31.77</v>
      </c>
      <c r="G20" s="43"/>
      <c r="H20" s="43"/>
      <c r="I20" s="43" t="n">
        <f aca="false">ROUND((H20+G20),2)</f>
        <v>0</v>
      </c>
      <c r="J20" s="43" t="n">
        <f aca="false">ROUND((G20*F20),2)</f>
        <v>0</v>
      </c>
      <c r="K20" s="43" t="n">
        <f aca="false">ROUND((H20*F20),2)</f>
        <v>0</v>
      </c>
      <c r="L20" s="43" t="n">
        <f aca="false">ROUND((K20+J20),2)</f>
        <v>0</v>
      </c>
      <c r="M20" s="43" t="n">
        <f aca="false">ROUND((IF(P20="BDI 1",((1+($S$3/100))*G20),((1+($S$4/100))*G20))),2)</f>
        <v>0</v>
      </c>
      <c r="N20" s="43" t="n">
        <f aca="false">ROUND((IF(P20="BDI 1",((1+($S$3/100))*H20),((1+($S$4/100))*H20))),2)</f>
        <v>0</v>
      </c>
      <c r="O20" s="43" t="n">
        <f aca="false">ROUND((M20+N20),2)</f>
        <v>0</v>
      </c>
      <c r="P20" s="44" t="s">
        <v>25</v>
      </c>
      <c r="Q20" s="43" t="n">
        <f aca="false">ROUND(M20*F20,2)</f>
        <v>0</v>
      </c>
      <c r="R20" s="43" t="n">
        <f aca="false">ROUND(N20*F20,2)</f>
        <v>0</v>
      </c>
      <c r="S20" s="45" t="n">
        <f aca="false">ROUND(Q20+R20,2)</f>
        <v>0</v>
      </c>
    </row>
    <row r="21" customFormat="false" ht="32.8" hidden="false" customHeight="false" outlineLevel="0" collapsed="false">
      <c r="A21" s="37" t="s">
        <v>35</v>
      </c>
      <c r="B21" s="38" t="s">
        <v>6</v>
      </c>
      <c r="C21" s="54" t="n">
        <v>97914</v>
      </c>
      <c r="D21" s="40" t="str">
        <f aca="false">IF(B21="SINAPI",(VLOOKUP(C21,Plan1!$B:$G,2,0)),(IF(B21="COMPOSIÇÃO",((VLOOKUP(C21,Plan1!$B:$L,3,0))),(VLOOKUP(C21,Plan1!$B:$L,2,0)))))</f>
        <v>TRANSPORTE COM CAMINHÃO BASCULANTE DE 6 M³, EM VIA URBANA PAVIMENTADA, DMT ATÉ 30 KM (UNIDADE: M3XKM). AF_07/2020</v>
      </c>
      <c r="E21" s="41" t="str">
        <f aca="false">IF(B21="SINAPI",(VLOOKUP(C21,Plan1!$B:$G,3,0)),(IF(B21="COMPOSIÇÃO",((VLOOKUP(C21,Plan1!$B:$L,4,0))),(VLOOKUP(C21,Plan1!$B:$L,5,0)))))</f>
        <v>M3XKM</v>
      </c>
      <c r="F21" s="42" t="n">
        <v>158.85</v>
      </c>
      <c r="G21" s="43"/>
      <c r="H21" s="43"/>
      <c r="I21" s="43" t="n">
        <f aca="false">ROUND((H21+G21),2)</f>
        <v>0</v>
      </c>
      <c r="J21" s="43" t="n">
        <f aca="false">ROUND((G21*F21),2)</f>
        <v>0</v>
      </c>
      <c r="K21" s="43" t="n">
        <f aca="false">ROUND((H21*F21),2)</f>
        <v>0</v>
      </c>
      <c r="L21" s="43" t="n">
        <f aca="false">ROUND((K21+J21),2)</f>
        <v>0</v>
      </c>
      <c r="M21" s="43" t="n">
        <f aca="false">ROUND((IF(P21="BDI 1",((1+($S$3/100))*G21),((1+($S$4/100))*G21))),2)</f>
        <v>0</v>
      </c>
      <c r="N21" s="43" t="n">
        <f aca="false">ROUND((IF(P21="BDI 1",((1+($S$3/100))*H21),((1+($S$4/100))*H21))),2)</f>
        <v>0</v>
      </c>
      <c r="O21" s="43" t="n">
        <f aca="false">ROUND((M21+N21),2)</f>
        <v>0</v>
      </c>
      <c r="P21" s="44" t="s">
        <v>25</v>
      </c>
      <c r="Q21" s="43" t="n">
        <f aca="false">ROUND(M21*F21,2)</f>
        <v>0</v>
      </c>
      <c r="R21" s="43" t="n">
        <f aca="false">ROUND(N21*F21,2)</f>
        <v>0</v>
      </c>
      <c r="S21" s="45" t="n">
        <f aca="false">ROUND(Q21+R21,2)</f>
        <v>0</v>
      </c>
    </row>
    <row r="22" customFormat="false" ht="15" hidden="false" customHeight="false" outlineLevel="0" collapsed="false">
      <c r="A22" s="55"/>
      <c r="B22" s="55"/>
      <c r="C22" s="56"/>
      <c r="D22" s="57"/>
      <c r="E22" s="56"/>
      <c r="F22" s="58"/>
      <c r="G22" s="58"/>
      <c r="H22" s="58"/>
      <c r="I22" s="59"/>
      <c r="J22" s="59"/>
      <c r="K22" s="59"/>
      <c r="L22" s="59"/>
      <c r="M22" s="52"/>
      <c r="N22" s="52"/>
      <c r="O22" s="52"/>
      <c r="P22" s="52"/>
      <c r="Q22" s="52"/>
      <c r="R22" s="52"/>
      <c r="S22" s="53"/>
    </row>
    <row r="23" customFormat="false" ht="15" hidden="false" customHeight="false" outlineLevel="0" collapsed="false">
      <c r="A23" s="31" t="n">
        <v>3</v>
      </c>
      <c r="B23" s="32"/>
      <c r="C23" s="33"/>
      <c r="D23" s="34" t="s">
        <v>36</v>
      </c>
      <c r="E23" s="34"/>
      <c r="F23" s="35"/>
      <c r="G23" s="36"/>
      <c r="H23" s="36"/>
      <c r="I23" s="36"/>
      <c r="J23" s="36" t="n">
        <f aca="false">ROUND(SUM(J24:J30),2)</f>
        <v>0</v>
      </c>
      <c r="K23" s="36" t="n">
        <f aca="false">ROUND(SUM(K24:K30),2)</f>
        <v>0</v>
      </c>
      <c r="L23" s="36" t="n">
        <f aca="false">ROUND(SUM(L24:L30),2)</f>
        <v>0</v>
      </c>
      <c r="M23" s="36"/>
      <c r="N23" s="36"/>
      <c r="O23" s="36"/>
      <c r="P23" s="36"/>
      <c r="Q23" s="36" t="n">
        <f aca="false">ROUND((SUM(Q24:Q30)),2)</f>
        <v>0</v>
      </c>
      <c r="R23" s="36" t="n">
        <f aca="false">ROUND((SUM(R24:R30)),2)</f>
        <v>0</v>
      </c>
      <c r="S23" s="36" t="n">
        <f aca="false">ROUND((SUM(S24:S30)),2)</f>
        <v>0</v>
      </c>
    </row>
    <row r="24" customFormat="false" ht="43.25" hidden="false" customHeight="false" outlineLevel="0" collapsed="false">
      <c r="A24" s="37" t="s">
        <v>37</v>
      </c>
      <c r="B24" s="38" t="s">
        <v>6</v>
      </c>
      <c r="C24" s="39" t="n">
        <v>103356</v>
      </c>
      <c r="D24" s="40" t="str">
        <f aca="false">IF(B24="SINAPI",(VLOOKUP(C24,Plan1!$B:$G,2,0)),(IF(B24="COMPOSIÇÃO",((VLOOKUP(C24,Plan1!$B:$L,3,0))),(VLOOKUP(C24,Plan1!$B:$L,2,0)))))</f>
        <v>ALVENARIA DE VEDAÇÃO DE BLOCOS CERÂMICOS FURADOS NA HORIZONTAL DE 9X19X29 CM (ESPESSURA 9 CM) E ARGAMASSA DE ASSENTAMENTO COM PREPARO EM BETONEIRA. AF_12/2021</v>
      </c>
      <c r="E24" s="41" t="str">
        <f aca="false">IF(B24="SINAPI",(VLOOKUP(C24,Plan1!$B:$G,3,0)),(IF(B24="COMPOSIÇÃO",((VLOOKUP(C24,Plan1!$B:$L,4,0))),(VLOOKUP(C24,Plan1!$B:$L,5,0)))))</f>
        <v>M2</v>
      </c>
      <c r="F24" s="42" t="n">
        <v>33.77</v>
      </c>
      <c r="G24" s="43"/>
      <c r="H24" s="43"/>
      <c r="I24" s="43" t="n">
        <f aca="false">ROUND((H24+G24),2)</f>
        <v>0</v>
      </c>
      <c r="J24" s="43" t="n">
        <f aca="false">ROUND((G24*F24),2)</f>
        <v>0</v>
      </c>
      <c r="K24" s="43" t="n">
        <f aca="false">ROUND((H24*F24),2)</f>
        <v>0</v>
      </c>
      <c r="L24" s="43" t="n">
        <f aca="false">ROUND((K24+J24),2)</f>
        <v>0</v>
      </c>
      <c r="M24" s="43" t="n">
        <f aca="false">ROUND((IF(P24="BDI 1",((1+($S$3/100))*G24),((1+($S$4/100))*G24))),2)</f>
        <v>0</v>
      </c>
      <c r="N24" s="43" t="n">
        <f aca="false">ROUND((IF(P24="BDI 1",((1+($S$3/100))*H24),((1+($S$4/100))*H24))),2)</f>
        <v>0</v>
      </c>
      <c r="O24" s="43" t="n">
        <f aca="false">ROUND((M24+N24),2)</f>
        <v>0</v>
      </c>
      <c r="P24" s="44" t="s">
        <v>25</v>
      </c>
      <c r="Q24" s="43" t="n">
        <f aca="false">ROUND(M24*F24,2)</f>
        <v>0</v>
      </c>
      <c r="R24" s="43" t="n">
        <f aca="false">ROUND(N24*F24,2)</f>
        <v>0</v>
      </c>
      <c r="S24" s="45" t="n">
        <f aca="false">ROUND(Q24+R24,2)</f>
        <v>0</v>
      </c>
    </row>
    <row r="25" customFormat="false" ht="22.35" hidden="false" customHeight="false" outlineLevel="0" collapsed="false">
      <c r="A25" s="37" t="s">
        <v>38</v>
      </c>
      <c r="B25" s="38" t="s">
        <v>6</v>
      </c>
      <c r="C25" s="54" t="n">
        <v>93187</v>
      </c>
      <c r="D25" s="40" t="str">
        <f aca="false">IF(B25="SINAPI",(VLOOKUP(C25,Plan1!$B:$G,2,0)),(IF(B25="COMPOSIÇÃO",((VLOOKUP(C25,Plan1!$B:$L,3,0))),(VLOOKUP(C25,Plan1!$B:$L,2,0)))))</f>
        <v>VERGA MOLDADA IN LOCO EM CONCRETO, ESPESSURA DE *20* CM. AF_03/2024</v>
      </c>
      <c r="E25" s="41" t="str">
        <f aca="false">IF(B25="SINAPI",(VLOOKUP(C25,Plan1!$B:$G,3,0)),(IF(B25="COMPOSIÇÃO",((VLOOKUP(C25,Plan1!$B:$L,4,0))),(VLOOKUP(C25,Plan1!$B:$L,5,0)))))</f>
        <v>M</v>
      </c>
      <c r="F25" s="42" t="n">
        <v>14.8</v>
      </c>
      <c r="G25" s="43"/>
      <c r="H25" s="43"/>
      <c r="I25" s="43" t="n">
        <f aca="false">ROUND((H25+G25),2)</f>
        <v>0</v>
      </c>
      <c r="J25" s="43" t="n">
        <f aca="false">ROUND((G25*F25),2)</f>
        <v>0</v>
      </c>
      <c r="K25" s="43" t="n">
        <f aca="false">ROUND((H25*F25),2)</f>
        <v>0</v>
      </c>
      <c r="L25" s="43" t="n">
        <f aca="false">ROUND((K25+J25),2)</f>
        <v>0</v>
      </c>
      <c r="M25" s="43" t="n">
        <f aca="false">ROUND((IF(P25="BDI 1",((1+($S$3/100))*G25),((1+($S$4/100))*G25))),2)</f>
        <v>0</v>
      </c>
      <c r="N25" s="43" t="n">
        <f aca="false">ROUND((IF(P25="BDI 1",((1+($S$3/100))*H25),((1+($S$4/100))*H25))),2)</f>
        <v>0</v>
      </c>
      <c r="O25" s="43" t="n">
        <f aca="false">ROUND((M25+N25),2)</f>
        <v>0</v>
      </c>
      <c r="P25" s="44" t="s">
        <v>25</v>
      </c>
      <c r="Q25" s="43" t="n">
        <f aca="false">ROUND(M25*F25,2)</f>
        <v>0</v>
      </c>
      <c r="R25" s="43" t="n">
        <f aca="false">ROUND(N25*F25,2)</f>
        <v>0</v>
      </c>
      <c r="S25" s="45" t="n">
        <f aca="false">ROUND(Q25+R25,2)</f>
        <v>0</v>
      </c>
    </row>
    <row r="26" customFormat="false" ht="22.35" hidden="false" customHeight="false" outlineLevel="0" collapsed="false">
      <c r="A26" s="37" t="s">
        <v>39</v>
      </c>
      <c r="B26" s="38" t="s">
        <v>6</v>
      </c>
      <c r="C26" s="39" t="n">
        <v>93197</v>
      </c>
      <c r="D26" s="40" t="str">
        <f aca="false">IF(B26="SINAPI",(VLOOKUP(C26,Plan1!$B:$G,2,0)),(IF(B26="COMPOSIÇÃO",((VLOOKUP(C26,Plan1!$B:$L,3,0))),(VLOOKUP(C26,Plan1!$B:$L,2,0)))))</f>
        <v>CONTRAVERGA MOLDADA IN LOCO EM CONCRETO, ESPESSURA DE *20* CM. AF_03/2024</v>
      </c>
      <c r="E26" s="41" t="str">
        <f aca="false">IF(B26="SINAPI",(VLOOKUP(C26,Plan1!$B:$G,3,0)),(IF(B26="COMPOSIÇÃO",((VLOOKUP(C26,Plan1!$B:$L,4,0))),(VLOOKUP(C26,Plan1!$B:$L,5,0)))))</f>
        <v>M</v>
      </c>
      <c r="F26" s="42" t="n">
        <v>3.9</v>
      </c>
      <c r="G26" s="43"/>
      <c r="H26" s="43"/>
      <c r="I26" s="43" t="n">
        <f aca="false">ROUND((H26+G26),2)</f>
        <v>0</v>
      </c>
      <c r="J26" s="43" t="n">
        <f aca="false">ROUND((G26*F26),2)</f>
        <v>0</v>
      </c>
      <c r="K26" s="43" t="n">
        <f aca="false">ROUND((H26*F26),2)</f>
        <v>0</v>
      </c>
      <c r="L26" s="43" t="n">
        <f aca="false">ROUND((K26+J26),2)</f>
        <v>0</v>
      </c>
      <c r="M26" s="43" t="n">
        <f aca="false">ROUND((IF(P26="BDI 1",((1+($S$3/100))*G26),((1+($S$4/100))*G26))),2)</f>
        <v>0</v>
      </c>
      <c r="N26" s="43" t="n">
        <f aca="false">ROUND((IF(P26="BDI 1",((1+($S$3/100))*H26),((1+($S$4/100))*H26))),2)</f>
        <v>0</v>
      </c>
      <c r="O26" s="43" t="n">
        <f aca="false">ROUND((M26+N26),2)</f>
        <v>0</v>
      </c>
      <c r="P26" s="44" t="s">
        <v>25</v>
      </c>
      <c r="Q26" s="43" t="n">
        <f aca="false">ROUND(M26*F26,2)</f>
        <v>0</v>
      </c>
      <c r="R26" s="43" t="n">
        <f aca="false">ROUND(N26*F26,2)</f>
        <v>0</v>
      </c>
      <c r="S26" s="45" t="n">
        <f aca="false">ROUND(Q26+R26,2)</f>
        <v>0</v>
      </c>
    </row>
    <row r="27" customFormat="false" ht="22.35" hidden="false" customHeight="false" outlineLevel="0" collapsed="false">
      <c r="A27" s="37" t="s">
        <v>40</v>
      </c>
      <c r="B27" s="38" t="s">
        <v>6</v>
      </c>
      <c r="C27" s="39" t="n">
        <v>97631</v>
      </c>
      <c r="D27" s="40" t="str">
        <f aca="false">IF(B27="SINAPI",(VLOOKUP(C27,Plan1!$B:$G,2,0)),(IF(B27="COMPOSIÇÃO",((VLOOKUP(C27,Plan1!$B:$L,3,0))),(VLOOKUP(C27,Plan1!$B:$L,2,0)))))</f>
        <v>DEMOLIÇÃO DE ARGAMASSAS, DE FORMA MANUAL, SEM REAPROVEITAMENTO. AF_09/2023</v>
      </c>
      <c r="E27" s="41" t="str">
        <f aca="false">IF(B27="SINAPI",(VLOOKUP(C27,Plan1!$B:$G,3,0)),(IF(B27="COMPOSIÇÃO",((VLOOKUP(C27,Plan1!$B:$L,4,0))),(VLOOKUP(C27,Plan1!$B:$L,5,0)))))</f>
        <v>M2</v>
      </c>
      <c r="F27" s="42" t="n">
        <v>59.15</v>
      </c>
      <c r="G27" s="43"/>
      <c r="H27" s="43"/>
      <c r="I27" s="43" t="n">
        <f aca="false">ROUND((H27+G27),2)</f>
        <v>0</v>
      </c>
      <c r="J27" s="43" t="n">
        <f aca="false">ROUND((G27*F27),2)</f>
        <v>0</v>
      </c>
      <c r="K27" s="43" t="n">
        <f aca="false">ROUND((H27*F27),2)</f>
        <v>0</v>
      </c>
      <c r="L27" s="43" t="n">
        <f aca="false">ROUND((K27+J27),2)</f>
        <v>0</v>
      </c>
      <c r="M27" s="43" t="n">
        <f aca="false">ROUND((IF(P27="BDI 1",((1+($S$3/100))*G27),((1+($S$4/100))*G27))),2)</f>
        <v>0</v>
      </c>
      <c r="N27" s="43" t="n">
        <f aca="false">ROUND((IF(P27="BDI 1",((1+($S$3/100))*H27),((1+($S$4/100))*H27))),2)</f>
        <v>0</v>
      </c>
      <c r="O27" s="43" t="n">
        <f aca="false">ROUND((M27+N27),2)</f>
        <v>0</v>
      </c>
      <c r="P27" s="44" t="s">
        <v>25</v>
      </c>
      <c r="Q27" s="43" t="n">
        <f aca="false">ROUND(M27*F27,2)</f>
        <v>0</v>
      </c>
      <c r="R27" s="43" t="n">
        <f aca="false">ROUND(N27*F27,2)</f>
        <v>0</v>
      </c>
      <c r="S27" s="45" t="n">
        <f aca="false">ROUND(Q27+R27,2)</f>
        <v>0</v>
      </c>
    </row>
    <row r="28" customFormat="false" ht="43.25" hidden="false" customHeight="false" outlineLevel="0" collapsed="false">
      <c r="A28" s="37" t="s">
        <v>41</v>
      </c>
      <c r="B28" s="38" t="s">
        <v>6</v>
      </c>
      <c r="C28" s="39" t="n">
        <v>87879</v>
      </c>
      <c r="D28" s="40" t="str">
        <f aca="false">IF(B28="SINAPI",(VLOOKUP(C28,Plan1!$B:$G,2,0)),(IF(B28="COMPOSIÇÃO",((VLOOKUP(C28,Plan1!$B:$L,3,0))),(VLOOKUP(C28,Plan1!$B:$L,2,0)))))</f>
        <v>CHAPISCO APLICADO EM ALVENARIAS E ESTRUTURAS DE CONCRETO INTERNAS, COM COLHER DE PEDREIRO.  ARGAMASSA TRAÇO 1:3 COM PREPARO EM BETONEIRA 400L. AF_10/2022</v>
      </c>
      <c r="E28" s="41" t="str">
        <f aca="false">IF(B28="SINAPI",(VLOOKUP(C28,Plan1!$B:$G,3,0)),(IF(B28="COMPOSIÇÃO",((VLOOKUP(C28,Plan1!$B:$L,4,0))),(VLOOKUP(C28,Plan1!$B:$L,5,0)))))</f>
        <v>M2</v>
      </c>
      <c r="F28" s="42" t="n">
        <v>126.7</v>
      </c>
      <c r="G28" s="43"/>
      <c r="H28" s="43"/>
      <c r="I28" s="43" t="n">
        <f aca="false">ROUND((H28+G28),2)</f>
        <v>0</v>
      </c>
      <c r="J28" s="43" t="n">
        <f aca="false">ROUND((G28*F28),2)</f>
        <v>0</v>
      </c>
      <c r="K28" s="43" t="n">
        <f aca="false">ROUND((H28*F28),2)</f>
        <v>0</v>
      </c>
      <c r="L28" s="43" t="n">
        <f aca="false">ROUND((K28+J28),2)</f>
        <v>0</v>
      </c>
      <c r="M28" s="43" t="n">
        <f aca="false">ROUND((IF(P28="BDI 1",((1+($S$3/100))*G28),((1+($S$4/100))*G28))),2)</f>
        <v>0</v>
      </c>
      <c r="N28" s="43" t="n">
        <f aca="false">ROUND((IF(P28="BDI 1",((1+($S$3/100))*H28),((1+($S$4/100))*H28))),2)</f>
        <v>0</v>
      </c>
      <c r="O28" s="43" t="n">
        <f aca="false">ROUND((M28+N28),2)</f>
        <v>0</v>
      </c>
      <c r="P28" s="44" t="s">
        <v>25</v>
      </c>
      <c r="Q28" s="43" t="n">
        <f aca="false">ROUND(M28*F28,2)</f>
        <v>0</v>
      </c>
      <c r="R28" s="43" t="n">
        <f aca="false">ROUND(N28*F28,2)</f>
        <v>0</v>
      </c>
      <c r="S28" s="45" t="n">
        <f aca="false">ROUND(Q28+R28,2)</f>
        <v>0</v>
      </c>
    </row>
    <row r="29" customFormat="false" ht="43.25" hidden="false" customHeight="false" outlineLevel="0" collapsed="false">
      <c r="A29" s="37" t="s">
        <v>42</v>
      </c>
      <c r="B29" s="38" t="s">
        <v>6</v>
      </c>
      <c r="C29" s="54" t="n">
        <v>87529</v>
      </c>
      <c r="D29" s="40" t="str">
        <f aca="false">IF(B29="SINAPI",(VLOOKUP(C29,Plan1!$B:$G,2,0)),(IF(B29="COMPOSIÇÃO",((VLOOKUP(C29,Plan1!$B:$L,3,0))),(VLOOKUP(C29,Plan1!$B:$L,2,0)))))</f>
        <v>MASSA ÚNICA, EM ARGAMASSA TRAÇO 1:2:8, PREPARO MECÂNICO, APLICADA MANUALMENTE EM PAREDES INTERNAS DE AMBIENTES COM ÁREA ENTRE 5M² E 10M², E = 17,5MM, COM TALISCAS. AF_03/2024</v>
      </c>
      <c r="E29" s="41" t="str">
        <f aca="false">IF(B29="SINAPI",(VLOOKUP(C29,Plan1!$B:$G,3,0)),(IF(B29="COMPOSIÇÃO",((VLOOKUP(C29,Plan1!$B:$L,4,0))),(VLOOKUP(C29,Plan1!$B:$L,5,0)))))</f>
        <v>M2</v>
      </c>
      <c r="F29" s="42" t="n">
        <v>126.7</v>
      </c>
      <c r="G29" s="43"/>
      <c r="H29" s="43"/>
      <c r="I29" s="43" t="n">
        <f aca="false">ROUND((H29+G29),2)</f>
        <v>0</v>
      </c>
      <c r="J29" s="43" t="n">
        <f aca="false">ROUND((G29*F29),2)</f>
        <v>0</v>
      </c>
      <c r="K29" s="43" t="n">
        <f aca="false">ROUND((H29*F29),2)</f>
        <v>0</v>
      </c>
      <c r="L29" s="43" t="n">
        <f aca="false">ROUND((K29+J29),2)</f>
        <v>0</v>
      </c>
      <c r="M29" s="43" t="n">
        <f aca="false">ROUND((IF(P29="BDI 1",((1+($S$3/100))*G29),((1+($S$4/100))*G29))),2)</f>
        <v>0</v>
      </c>
      <c r="N29" s="43" t="n">
        <f aca="false">ROUND((IF(P29="BDI 1",((1+($S$3/100))*H29),((1+($S$4/100))*H29))),2)</f>
        <v>0</v>
      </c>
      <c r="O29" s="43" t="n">
        <f aca="false">ROUND((M29+N29),2)</f>
        <v>0</v>
      </c>
      <c r="P29" s="44" t="s">
        <v>25</v>
      </c>
      <c r="Q29" s="43" t="n">
        <f aca="false">ROUND(M29*F29,2)</f>
        <v>0</v>
      </c>
      <c r="R29" s="43" t="n">
        <f aca="false">ROUND(N29*F29,2)</f>
        <v>0</v>
      </c>
      <c r="S29" s="45" t="n">
        <f aca="false">ROUND(Q29+R29,2)</f>
        <v>0</v>
      </c>
    </row>
    <row r="30" customFormat="false" ht="22.35" hidden="false" customHeight="false" outlineLevel="0" collapsed="false">
      <c r="A30" s="37" t="s">
        <v>43</v>
      </c>
      <c r="B30" s="38" t="s">
        <v>6</v>
      </c>
      <c r="C30" s="39" t="n">
        <v>98555</v>
      </c>
      <c r="D30" s="40" t="str">
        <f aca="false">IF(B30="SINAPI",(VLOOKUP(C30,Plan1!$B:$G,2,0)),(IF(B30="COMPOSIÇÃO",((VLOOKUP(C30,Plan1!$B:$L,3,0))),(VLOOKUP(C30,Plan1!$B:$L,2,0)))))</f>
        <v>IMPERMEABILIZAÇÃO DE SUPERFÍCIE COM ARGAMASSA POLIMÉRICA / MEMBRANA ACRÍLICA, 3 DEMÃOS. AF_09/2023</v>
      </c>
      <c r="E30" s="41" t="str">
        <f aca="false">IF(B30="SINAPI",(VLOOKUP(C30,Plan1!$B:$G,3,0)),(IF(B30="COMPOSIÇÃO",((VLOOKUP(C30,Plan1!$B:$L,4,0))),(VLOOKUP(C30,Plan1!$B:$L,5,0)))))</f>
        <v>M2</v>
      </c>
      <c r="F30" s="42" t="n">
        <f aca="false">8.92+37.2</f>
        <v>46.12</v>
      </c>
      <c r="G30" s="43"/>
      <c r="H30" s="43"/>
      <c r="I30" s="43" t="n">
        <f aca="false">ROUND((H30+G30),2)</f>
        <v>0</v>
      </c>
      <c r="J30" s="43" t="n">
        <f aca="false">ROUND((G30*F30),2)</f>
        <v>0</v>
      </c>
      <c r="K30" s="43" t="n">
        <f aca="false">ROUND((H30*F30),2)</f>
        <v>0</v>
      </c>
      <c r="L30" s="43" t="n">
        <f aca="false">ROUND((K30+J30),2)</f>
        <v>0</v>
      </c>
      <c r="M30" s="43" t="n">
        <f aca="false">ROUND((IF(P30="BDI 1",((1+($S$3/100))*G30),((1+($S$4/100))*G30))),2)</f>
        <v>0</v>
      </c>
      <c r="N30" s="43" t="n">
        <f aca="false">ROUND((IF(P30="BDI 1",((1+($S$3/100))*H30),((1+($S$4/100))*H30))),2)</f>
        <v>0</v>
      </c>
      <c r="O30" s="43" t="n">
        <f aca="false">ROUND((M30+N30),2)</f>
        <v>0</v>
      </c>
      <c r="P30" s="44" t="s">
        <v>25</v>
      </c>
      <c r="Q30" s="43" t="n">
        <f aca="false">ROUND(M30*F30,2)</f>
        <v>0</v>
      </c>
      <c r="R30" s="43" t="n">
        <f aca="false">ROUND(N30*F30,2)</f>
        <v>0</v>
      </c>
      <c r="S30" s="45" t="n">
        <f aca="false">ROUND(Q30+R30,2)</f>
        <v>0</v>
      </c>
    </row>
    <row r="31" customFormat="false" ht="15" hidden="false" customHeight="false" outlineLevel="0" collapsed="false">
      <c r="A31" s="55"/>
      <c r="B31" s="55"/>
      <c r="C31" s="56"/>
      <c r="D31" s="57"/>
      <c r="E31" s="56"/>
      <c r="F31" s="58"/>
      <c r="G31" s="58"/>
      <c r="H31" s="58"/>
      <c r="I31" s="59"/>
      <c r="J31" s="59"/>
      <c r="K31" s="59"/>
      <c r="L31" s="59"/>
      <c r="M31" s="52"/>
      <c r="N31" s="52"/>
      <c r="O31" s="52"/>
      <c r="P31" s="52"/>
      <c r="Q31" s="52"/>
      <c r="R31" s="52"/>
      <c r="S31" s="53"/>
    </row>
    <row r="32" customFormat="false" ht="15" hidden="false" customHeight="false" outlineLevel="0" collapsed="false">
      <c r="A32" s="31" t="n">
        <v>4</v>
      </c>
      <c r="B32" s="32"/>
      <c r="C32" s="33"/>
      <c r="D32" s="34" t="s">
        <v>44</v>
      </c>
      <c r="E32" s="34"/>
      <c r="F32" s="35"/>
      <c r="G32" s="36"/>
      <c r="H32" s="36"/>
      <c r="I32" s="36"/>
      <c r="J32" s="36" t="n">
        <f aca="false">ROUND(SUM(J33:J41),2)</f>
        <v>0</v>
      </c>
      <c r="K32" s="36" t="n">
        <f aca="false">ROUND(SUM(K33:K41),2)</f>
        <v>0</v>
      </c>
      <c r="L32" s="36" t="n">
        <f aca="false">ROUND(SUM(L33:L41),2)</f>
        <v>0</v>
      </c>
      <c r="M32" s="36"/>
      <c r="N32" s="36"/>
      <c r="O32" s="36"/>
      <c r="P32" s="36"/>
      <c r="Q32" s="36" t="n">
        <f aca="false">ROUND((SUM(Q33:Q41)),2)</f>
        <v>0</v>
      </c>
      <c r="R32" s="36" t="n">
        <f aca="false">ROUND((SUM(R33:R41)),2)</f>
        <v>0</v>
      </c>
      <c r="S32" s="36" t="n">
        <f aca="false">ROUND((SUM(S33:S41)),2)</f>
        <v>0</v>
      </c>
    </row>
    <row r="33" customFormat="false" ht="53.7" hidden="false" customHeight="false" outlineLevel="0" collapsed="false">
      <c r="A33" s="37" t="s">
        <v>45</v>
      </c>
      <c r="B33" s="38" t="s">
        <v>6</v>
      </c>
      <c r="C33" s="39" t="n">
        <v>100667</v>
      </c>
      <c r="D33" s="40" t="str">
        <f aca="false">IF(B33="SINAPI",(VLOOKUP(C33,Plan1!$B:$G,2,0)),(IF(B33="COMPOSIÇÃO",((VLOOKUP(C33,Plan1!$B:$L,3,0))),(VLOOKUP(C33,Plan1!$B:$L,2,0)))))</f>
        <v>JANELA DE MADEIRA (IMBUIA/CEDRO OU EQUIV.) DE ABRIR COM 4 FOLHAS (2 VENEZIANAS E 2 GUILHOTINAS PARA VIDRO), COM BATENTE, ALIZAR E FERRAGENS. EXCLUSIVE VIDROS, ACABAMENTO E CONTRAMARCO. FORNECIMENTO E INSTALAÇÃO. AF_12/2019</v>
      </c>
      <c r="E33" s="41" t="str">
        <f aca="false">IF(B33="SINAPI",(VLOOKUP(C33,Plan1!$B:$G,3,0)),(IF(B33="COMPOSIÇÃO",((VLOOKUP(C33,Plan1!$B:$L,4,0))),(VLOOKUP(C33,Plan1!$B:$L,5,0)))))</f>
        <v>M2</v>
      </c>
      <c r="F33" s="42" t="n">
        <v>2</v>
      </c>
      <c r="G33" s="43"/>
      <c r="H33" s="43"/>
      <c r="I33" s="43" t="n">
        <f aca="false">ROUND((H33+G33),2)</f>
        <v>0</v>
      </c>
      <c r="J33" s="43" t="n">
        <f aca="false">ROUND((G33*F33),2)</f>
        <v>0</v>
      </c>
      <c r="K33" s="43" t="n">
        <f aca="false">ROUND((H33*F33),2)</f>
        <v>0</v>
      </c>
      <c r="L33" s="43" t="n">
        <f aca="false">ROUND((K33+J33),2)</f>
        <v>0</v>
      </c>
      <c r="M33" s="43" t="n">
        <f aca="false">ROUND((IF(P33="BDI 1",((1+($S$3/100))*G33),((1+($S$4/100))*G33))),2)</f>
        <v>0</v>
      </c>
      <c r="N33" s="43" t="n">
        <f aca="false">ROUND((IF(P33="BDI 1",((1+($S$3/100))*H33),((1+($S$4/100))*H33))),2)</f>
        <v>0</v>
      </c>
      <c r="O33" s="43" t="n">
        <f aca="false">ROUND((M33+N33),2)</f>
        <v>0</v>
      </c>
      <c r="P33" s="44" t="s">
        <v>25</v>
      </c>
      <c r="Q33" s="43" t="n">
        <f aca="false">ROUND(M33*F33,2)</f>
        <v>0</v>
      </c>
      <c r="R33" s="43" t="n">
        <f aca="false">ROUND(N33*F33,2)</f>
        <v>0</v>
      </c>
      <c r="S33" s="45" t="n">
        <f aca="false">ROUND(Q33+R33,2)</f>
        <v>0</v>
      </c>
    </row>
    <row r="34" customFormat="false" ht="22.35" hidden="false" customHeight="false" outlineLevel="0" collapsed="false">
      <c r="A34" s="37" t="s">
        <v>46</v>
      </c>
      <c r="B34" s="38" t="s">
        <v>6</v>
      </c>
      <c r="C34" s="39" t="n">
        <v>102154</v>
      </c>
      <c r="D34" s="40" t="str">
        <f aca="false">IF(B34="SINAPI",(VLOOKUP(C34,Plan1!$B:$G,2,0)),(IF(B34="COMPOSIÇÃO",((VLOOKUP(C34,Plan1!$B:$L,3,0))),(VLOOKUP(C34,Plan1!$B:$L,2,0)))))</f>
        <v>INSTALAÇÃO DE VIDRO LISO INCOLOR, E = 5 MM, EM ESQUADRIA DE MADEIRA, FIXADO COM BAGUETE. AF_01/2021</v>
      </c>
      <c r="E34" s="41" t="str">
        <f aca="false">IF(B34="SINAPI",(VLOOKUP(C34,Plan1!$B:$G,3,0)),(IF(B34="COMPOSIÇÃO",((VLOOKUP(C34,Plan1!$B:$L,4,0))),(VLOOKUP(C34,Plan1!$B:$L,5,0)))))</f>
        <v>M2</v>
      </c>
      <c r="F34" s="42" t="n">
        <v>2</v>
      </c>
      <c r="G34" s="43"/>
      <c r="H34" s="43"/>
      <c r="I34" s="43" t="n">
        <f aca="false">ROUND((H34+G34),2)</f>
        <v>0</v>
      </c>
      <c r="J34" s="43" t="n">
        <f aca="false">ROUND((G34*F34),2)</f>
        <v>0</v>
      </c>
      <c r="K34" s="43" t="n">
        <f aca="false">ROUND((H34*F34),2)</f>
        <v>0</v>
      </c>
      <c r="L34" s="43" t="n">
        <f aca="false">ROUND((K34+J34),2)</f>
        <v>0</v>
      </c>
      <c r="M34" s="43" t="n">
        <f aca="false">ROUND((IF(P34="BDI 1",((1+($S$3/100))*G34),((1+($S$4/100))*G34))),2)</f>
        <v>0</v>
      </c>
      <c r="N34" s="43" t="n">
        <f aca="false">ROUND((IF(P34="BDI 1",((1+($S$3/100))*H34),((1+($S$4/100))*H34))),2)</f>
        <v>0</v>
      </c>
      <c r="O34" s="43" t="n">
        <f aca="false">ROUND((M34+N34),2)</f>
        <v>0</v>
      </c>
      <c r="P34" s="44" t="s">
        <v>25</v>
      </c>
      <c r="Q34" s="43" t="n">
        <f aca="false">ROUND(M34*F34,2)</f>
        <v>0</v>
      </c>
      <c r="R34" s="43" t="n">
        <f aca="false">ROUND(N34*F34,2)</f>
        <v>0</v>
      </c>
      <c r="S34" s="45" t="n">
        <f aca="false">ROUND(Q34+R34,2)</f>
        <v>0</v>
      </c>
    </row>
    <row r="35" customFormat="false" ht="32.8" hidden="false" customHeight="false" outlineLevel="0" collapsed="false">
      <c r="A35" s="37" t="s">
        <v>47</v>
      </c>
      <c r="B35" s="38" t="s">
        <v>6</v>
      </c>
      <c r="C35" s="54" t="n">
        <v>94569</v>
      </c>
      <c r="D35" s="40" t="str">
        <f aca="false">IF(B35="SINAPI",(VLOOKUP(C35,Plan1!$B:$G,2,0)),(IF(B35="COMPOSIÇÃO",((VLOOKUP(C35,Plan1!$B:$L,3,0))),(VLOOKUP(C35,Plan1!$B:$L,2,0)))))</f>
        <v>JANELA DE ALUMÍNIO TIPO MAXIM-AR, COM VIDROS, BATENTE E FERRAGENS. EXCLUSIVE ALIZAR, ACABAMENTO E CONTRAMARCO. FORNECIMENTO E INSTALAÇÃO. AF_12/2019</v>
      </c>
      <c r="E35" s="41" t="str">
        <f aca="false">IF(B35="SINAPI",(VLOOKUP(C35,Plan1!$B:$G,3,0)),(IF(B35="COMPOSIÇÃO",((VLOOKUP(C35,Plan1!$B:$L,4,0))),(VLOOKUP(C35,Plan1!$B:$L,5,0)))))</f>
        <v>M2</v>
      </c>
      <c r="F35" s="42" t="n">
        <v>0.49</v>
      </c>
      <c r="G35" s="43"/>
      <c r="H35" s="43"/>
      <c r="I35" s="43" t="n">
        <f aca="false">ROUND((H35+G35),2)</f>
        <v>0</v>
      </c>
      <c r="J35" s="43" t="n">
        <f aca="false">ROUND((G35*F35),2)</f>
        <v>0</v>
      </c>
      <c r="K35" s="43" t="n">
        <f aca="false">ROUND((H35*F35),2)</f>
        <v>0</v>
      </c>
      <c r="L35" s="43" t="n">
        <f aca="false">ROUND((K35+J35),2)</f>
        <v>0</v>
      </c>
      <c r="M35" s="43" t="n">
        <f aca="false">ROUND((IF(P35="BDI 1",((1+($S$3/100))*G35),((1+($S$4/100))*G35))),2)</f>
        <v>0</v>
      </c>
      <c r="N35" s="43" t="n">
        <f aca="false">ROUND((IF(P35="BDI 1",((1+($S$3/100))*H35),((1+($S$4/100))*H35))),2)</f>
        <v>0</v>
      </c>
      <c r="O35" s="43" t="n">
        <f aca="false">ROUND((M35+N35),2)</f>
        <v>0</v>
      </c>
      <c r="P35" s="44" t="s">
        <v>25</v>
      </c>
      <c r="Q35" s="43" t="n">
        <f aca="false">ROUND(M35*F35,2)</f>
        <v>0</v>
      </c>
      <c r="R35" s="43" t="n">
        <f aca="false">ROUND(N35*F35,2)</f>
        <v>0</v>
      </c>
      <c r="S35" s="45" t="n">
        <f aca="false">ROUND(Q35+R35,2)</f>
        <v>0</v>
      </c>
    </row>
    <row r="36" customFormat="false" ht="64.15" hidden="false" customHeight="false" outlineLevel="0" collapsed="false">
      <c r="A36" s="37" t="s">
        <v>48</v>
      </c>
      <c r="B36" s="38" t="s">
        <v>6</v>
      </c>
      <c r="C36" s="54" t="n">
        <v>12030</v>
      </c>
      <c r="D36" s="40" t="str">
        <f aca="false">IF(B36="SINAPI",(VLOOKUP(C36,Plan1!$B:$G,2,0)),(IF(B36="COMPOSIÇÃO",((VLOOKUP(C36,Plan1!$B:$L,3,0))),(VLOOKUP(C36,Plan1!$B:$L,2,0)))))</f>
        <v>JOGO DE TRANQUETA E ROSETA REDONDA DE SOBREPOR SEM FUROS, EM LATAO CROMADO, DIAMETRO *50* MM, PARA FECHADURA DE PORTA DE BANHEIRO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36" s="41" t="str">
        <f aca="false">IF(B36="SINAPI",(VLOOKUP(C36,Plan1!$B:$G,3,0)),(IF(B36="COMPOSIÇÃO",((VLOOKUP(C36,Plan1!$B:$L,4,0))),(VLOOKUP(C36,Plan1!$B:$L,5,0)))))</f>
        <v>JG    </v>
      </c>
      <c r="F36" s="42" t="n">
        <v>18</v>
      </c>
      <c r="G36" s="43"/>
      <c r="H36" s="43"/>
      <c r="I36" s="43" t="n">
        <f aca="false">ROUND((H36+G36),2)</f>
        <v>0</v>
      </c>
      <c r="J36" s="43" t="n">
        <f aca="false">ROUND((G36*F36),2)</f>
        <v>0</v>
      </c>
      <c r="K36" s="43" t="n">
        <f aca="false">ROUND((H36*F36),2)</f>
        <v>0</v>
      </c>
      <c r="L36" s="43" t="n">
        <f aca="false">ROUND((K36+J36),2)</f>
        <v>0</v>
      </c>
      <c r="M36" s="43" t="n">
        <f aca="false">ROUND((IF(P36="BDI 1",((1+($S$3/100))*G36),((1+($S$4/100))*G36))),2)</f>
        <v>0</v>
      </c>
      <c r="N36" s="43" t="n">
        <f aca="false">ROUND((IF(P36="BDI 1",((1+($S$3/100))*H36),((1+($S$4/100))*H36))),2)</f>
        <v>0</v>
      </c>
      <c r="O36" s="43" t="n">
        <f aca="false">ROUND((M36+N36),2)</f>
        <v>0</v>
      </c>
      <c r="P36" s="44" t="s">
        <v>25</v>
      </c>
      <c r="Q36" s="43" t="n">
        <f aca="false">ROUND(M36*F36,2)</f>
        <v>0</v>
      </c>
      <c r="R36" s="43" t="n">
        <f aca="false">ROUND(N36*F36,2)</f>
        <v>0</v>
      </c>
      <c r="S36" s="45" t="n">
        <f aca="false">ROUND(Q36+R36,2)</f>
        <v>0</v>
      </c>
    </row>
    <row r="37" customFormat="false" ht="53.7" hidden="false" customHeight="false" outlineLevel="0" collapsed="false">
      <c r="A37" s="37" t="s">
        <v>49</v>
      </c>
      <c r="B37" s="38" t="s">
        <v>6</v>
      </c>
      <c r="C37" s="39" t="n">
        <v>90790</v>
      </c>
      <c r="D37" s="40" t="str">
        <f aca="false">IF(B37="SINAPI",(VLOOKUP(C37,Plan1!$B:$G,2,0)),(IF(B37="COMPOSIÇÃO",((VLOOKUP(C37,Plan1!$B:$L,3,0))),(VLOOKUP(C37,Plan1!$B:$L,2,0)))))</f>
        <v>KIT DE PORTA-PRONTA DE MADEIRA EM ACABAMENTO MELAMÍNICO BRANCO, FOLHA LEVE OU MÉDIA, 80X210CM, EXCLUSIVE FECHADURA, FIXAÇÃO COM PREENCHIMENTO PARCIAL DE ESPUMA EXPANSIVA - FORNECIMENTO E INSTALAÇÃO. AF_12/2019</v>
      </c>
      <c r="E37" s="41" t="str">
        <f aca="false">IF(B37="SINAPI",(VLOOKUP(C37,Plan1!$B:$G,3,0)),(IF(B37="COMPOSIÇÃO",((VLOOKUP(C37,Plan1!$B:$L,4,0))),(VLOOKUP(C37,Plan1!$B:$L,5,0)))))</f>
        <v>UN</v>
      </c>
      <c r="F37" s="42" t="n">
        <v>9</v>
      </c>
      <c r="G37" s="43"/>
      <c r="H37" s="43"/>
      <c r="I37" s="43" t="n">
        <f aca="false">ROUND((H37+G37),2)</f>
        <v>0</v>
      </c>
      <c r="J37" s="43" t="n">
        <f aca="false">ROUND((G37*F37),2)</f>
        <v>0</v>
      </c>
      <c r="K37" s="43" t="n">
        <f aca="false">ROUND((H37*F37),2)</f>
        <v>0</v>
      </c>
      <c r="L37" s="43" t="n">
        <f aca="false">ROUND((K37+J37),2)</f>
        <v>0</v>
      </c>
      <c r="M37" s="43" t="n">
        <f aca="false">ROUND((IF(P37="BDI 1",((1+($S$3/100))*G37),((1+($S$4/100))*G37))),2)</f>
        <v>0</v>
      </c>
      <c r="N37" s="43" t="n">
        <f aca="false">ROUND((IF(P37="BDI 1",((1+($S$3/100))*H37),((1+($S$4/100))*H37))),2)</f>
        <v>0</v>
      </c>
      <c r="O37" s="43" t="n">
        <f aca="false">ROUND((M37+N37),2)</f>
        <v>0</v>
      </c>
      <c r="P37" s="44" t="s">
        <v>25</v>
      </c>
      <c r="Q37" s="43" t="n">
        <f aca="false">ROUND(M37*F37,2)</f>
        <v>0</v>
      </c>
      <c r="R37" s="43" t="n">
        <f aca="false">ROUND(N37*F37,2)</f>
        <v>0</v>
      </c>
      <c r="S37" s="45" t="n">
        <f aca="false">ROUND(Q37+R37,2)</f>
        <v>0</v>
      </c>
    </row>
    <row r="38" customFormat="false" ht="53.7" hidden="false" customHeight="false" outlineLevel="0" collapsed="false">
      <c r="A38" s="37" t="s">
        <v>50</v>
      </c>
      <c r="B38" s="38" t="s">
        <v>6</v>
      </c>
      <c r="C38" s="39" t="n">
        <v>90789</v>
      </c>
      <c r="D38" s="40" t="str">
        <f aca="false">IF(B38="SINAPI",(VLOOKUP(C38,Plan1!$B:$G,2,0)),(IF(B38="COMPOSIÇÃO",((VLOOKUP(C38,Plan1!$B:$L,3,0))),(VLOOKUP(C38,Plan1!$B:$L,2,0)))))</f>
        <v>KIT DE PORTA-PRONTA DE MADEIRA EM ACABAMENTO MELAMÍNICO BRANCO, FOLHA LEVE OU MÉDIA, 70X210CM, EXCLUSIVE FECHADURA, FIXAÇÃO COM PREENCHIMENTO PARCIAL DE ESPUMA EXPANSIVA - FORNECIMENTO E INSTALAÇÃO. AF_12/2019</v>
      </c>
      <c r="E38" s="41" t="str">
        <f aca="false">IF(B38="SINAPI",(VLOOKUP(C38,Plan1!$B:$G,3,0)),(IF(B38="COMPOSIÇÃO",((VLOOKUP(C38,Plan1!$B:$L,4,0))),(VLOOKUP(C38,Plan1!$B:$L,5,0)))))</f>
        <v>UN</v>
      </c>
      <c r="F38" s="42" t="n">
        <v>2</v>
      </c>
      <c r="G38" s="43"/>
      <c r="H38" s="43"/>
      <c r="I38" s="43" t="n">
        <f aca="false">ROUND((H38+G38),2)</f>
        <v>0</v>
      </c>
      <c r="J38" s="43" t="n">
        <f aca="false">ROUND((G38*F38),2)</f>
        <v>0</v>
      </c>
      <c r="K38" s="43" t="n">
        <f aca="false">ROUND((H38*F38),2)</f>
        <v>0</v>
      </c>
      <c r="L38" s="43" t="n">
        <f aca="false">ROUND((K38+J38),2)</f>
        <v>0</v>
      </c>
      <c r="M38" s="43" t="n">
        <f aca="false">ROUND((IF(P38="BDI 1",((1+($S$3/100))*G38),((1+($S$4/100))*G38))),2)</f>
        <v>0</v>
      </c>
      <c r="N38" s="43" t="n">
        <f aca="false">ROUND((IF(P38="BDI 1",((1+($S$3/100))*H38),((1+($S$4/100))*H38))),2)</f>
        <v>0</v>
      </c>
      <c r="O38" s="43" t="n">
        <f aca="false">ROUND((M38+N38),2)</f>
        <v>0</v>
      </c>
      <c r="P38" s="44" t="s">
        <v>25</v>
      </c>
      <c r="Q38" s="43" t="n">
        <f aca="false">ROUND(M38*F38,2)</f>
        <v>0</v>
      </c>
      <c r="R38" s="43" t="n">
        <f aca="false">ROUND(N38*F38,2)</f>
        <v>0</v>
      </c>
      <c r="S38" s="45" t="n">
        <f aca="false">ROUND(Q38+R38,2)</f>
        <v>0</v>
      </c>
    </row>
    <row r="39" customFormat="false" ht="43.25" hidden="false" customHeight="false" outlineLevel="0" collapsed="false">
      <c r="A39" s="37" t="s">
        <v>51</v>
      </c>
      <c r="B39" s="38" t="s">
        <v>6</v>
      </c>
      <c r="C39" s="54" t="n">
        <v>91304</v>
      </c>
      <c r="D39" s="40" t="str">
        <f aca="false">IF(B39="SINAPI",(VLOOKUP(C39,Plan1!$B:$G,2,0)),(IF(B39="COMPOSIÇÃO",((VLOOKUP(C39,Plan1!$B:$L,3,0))),(VLOOKUP(C39,Plan1!$B:$L,2,0)))))</f>
        <v>FECHADURA DE EMBUTIR COM CILINDRO, EXTERNA, COMPLETA, ACABAMENTO PADRÃO POPULAR, INCLUSO EXECUÇÃO DE FURO - FORNECIMENTO E INSTALAÇÃO. AF_12/2019</v>
      </c>
      <c r="E39" s="41" t="str">
        <f aca="false">IF(B39="SINAPI",(VLOOKUP(C39,Plan1!$B:$G,3,0)),(IF(B39="COMPOSIÇÃO",((VLOOKUP(C39,Plan1!$B:$L,4,0))),(VLOOKUP(C39,Plan1!$B:$L,5,0)))))</f>
        <v>UN</v>
      </c>
      <c r="F39" s="42" t="n">
        <v>10</v>
      </c>
      <c r="G39" s="43"/>
      <c r="H39" s="43"/>
      <c r="I39" s="43" t="n">
        <f aca="false">ROUND((H39+G39),2)</f>
        <v>0</v>
      </c>
      <c r="J39" s="43" t="n">
        <f aca="false">ROUND((G39*F39),2)</f>
        <v>0</v>
      </c>
      <c r="K39" s="43" t="n">
        <f aca="false">ROUND((H39*F39),2)</f>
        <v>0</v>
      </c>
      <c r="L39" s="43" t="n">
        <f aca="false">ROUND((K39+J39),2)</f>
        <v>0</v>
      </c>
      <c r="M39" s="43" t="n">
        <f aca="false">ROUND((IF(P39="BDI 1",((1+($S$3/100))*G39),((1+($S$4/100))*G39))),2)</f>
        <v>0</v>
      </c>
      <c r="N39" s="43" t="n">
        <f aca="false">ROUND((IF(P39="BDI 1",((1+($S$3/100))*H39),((1+($S$4/100))*H39))),2)</f>
        <v>0</v>
      </c>
      <c r="O39" s="43" t="n">
        <f aca="false">ROUND((M39+N39),2)</f>
        <v>0</v>
      </c>
      <c r="P39" s="44" t="s">
        <v>25</v>
      </c>
      <c r="Q39" s="43" t="n">
        <f aca="false">ROUND(M39*F39,2)</f>
        <v>0</v>
      </c>
      <c r="R39" s="43" t="n">
        <f aca="false">ROUND(N39*F39,2)</f>
        <v>0</v>
      </c>
      <c r="S39" s="45" t="n">
        <f aca="false">ROUND(Q39+R39,2)</f>
        <v>0</v>
      </c>
    </row>
    <row r="40" customFormat="false" ht="22.35" hidden="false" customHeight="false" outlineLevel="0" collapsed="false">
      <c r="A40" s="37" t="s">
        <v>52</v>
      </c>
      <c r="B40" s="38" t="s">
        <v>6</v>
      </c>
      <c r="C40" s="39" t="n">
        <v>102235</v>
      </c>
      <c r="D40" s="40" t="str">
        <f aca="false">IF(B40="SINAPI",(VLOOKUP(C40,Plan1!$B:$G,2,0)),(IF(B40="COMPOSIÇÃO",((VLOOKUP(C40,Plan1!$B:$L,3,0))),(VLOOKUP(C40,Plan1!$B:$L,2,0)))))</f>
        <v>DIVISÓRIA FIXA EM VIDRO TEMPERADO 10 MM, SEM ABERTURA. AF_01/2021_PS</v>
      </c>
      <c r="E40" s="41" t="str">
        <f aca="false">IF(B40="SINAPI",(VLOOKUP(C40,Plan1!$B:$G,3,0)),(IF(B40="COMPOSIÇÃO",((VLOOKUP(C40,Plan1!$B:$L,4,0))),(VLOOKUP(C40,Plan1!$B:$L,5,0)))))</f>
        <v>M2</v>
      </c>
      <c r="F40" s="42" t="n">
        <f aca="false">5.24*2</f>
        <v>10.48</v>
      </c>
      <c r="G40" s="43"/>
      <c r="H40" s="43"/>
      <c r="I40" s="43" t="n">
        <f aca="false">ROUND((H40+G40),2)</f>
        <v>0</v>
      </c>
      <c r="J40" s="43" t="n">
        <f aca="false">ROUND((G40*F40),2)</f>
        <v>0</v>
      </c>
      <c r="K40" s="43" t="n">
        <f aca="false">ROUND((H40*F40),2)</f>
        <v>0</v>
      </c>
      <c r="L40" s="43" t="n">
        <f aca="false">ROUND((K40+J40),2)</f>
        <v>0</v>
      </c>
      <c r="M40" s="43" t="n">
        <f aca="false">ROUND((IF(P40="BDI 1",((1+($S$3/100))*G40),((1+($S$4/100))*G40))),2)</f>
        <v>0</v>
      </c>
      <c r="N40" s="43" t="n">
        <f aca="false">ROUND((IF(P40="BDI 1",((1+($S$3/100))*H40),((1+($S$4/100))*H40))),2)</f>
        <v>0</v>
      </c>
      <c r="O40" s="43" t="n">
        <f aca="false">ROUND((M40+N40),2)</f>
        <v>0</v>
      </c>
      <c r="P40" s="44" t="s">
        <v>25</v>
      </c>
      <c r="Q40" s="43" t="n">
        <f aca="false">ROUND(M40*F40,2)</f>
        <v>0</v>
      </c>
      <c r="R40" s="43" t="n">
        <f aca="false">ROUND(N40*F40,2)</f>
        <v>0</v>
      </c>
      <c r="S40" s="45" t="n">
        <f aca="false">ROUND(Q40+R40,2)</f>
        <v>0</v>
      </c>
    </row>
    <row r="41" customFormat="false" ht="22.35" hidden="false" customHeight="false" outlineLevel="0" collapsed="false">
      <c r="A41" s="37" t="s">
        <v>53</v>
      </c>
      <c r="B41" s="38" t="s">
        <v>24</v>
      </c>
      <c r="C41" s="39" t="n">
        <v>2</v>
      </c>
      <c r="D41" s="40" t="str">
        <f aca="false">IF(B41="SINAPI",(VLOOKUP(C41,Plan1!$B:$G,2,0)),(IF(B41="COMPOSIÇÃO",((VLOOKUP(C41,Plan1!$B:$L,3,0))),(VLOOKUP(C41,Plan1!$B:$L,2,0)))))</f>
        <v>PORTA DE ABRIR EM VIDRO TEMPERADO FOSCO, E = 10MM, 60x200CM</v>
      </c>
      <c r="E41" s="41" t="str">
        <f aca="false">IF(B41="SINAPI",(VLOOKUP(C41,Plan1!$B:$G,3,0)),(IF(B41="COMPOSIÇÃO",((VLOOKUP(C41,Plan1!$B:$L,4,0))),(VLOOKUP(C41,Plan1!$B:$L,5,0)))))</f>
        <v>M2</v>
      </c>
      <c r="F41" s="42" t="n">
        <f aca="false">19.2+0.7*2</f>
        <v>20.6</v>
      </c>
      <c r="G41" s="43"/>
      <c r="H41" s="43"/>
      <c r="I41" s="43" t="n">
        <f aca="false">ROUND((H41+G41),2)</f>
        <v>0</v>
      </c>
      <c r="J41" s="43" t="n">
        <f aca="false">ROUND((G41*F41),2)</f>
        <v>0</v>
      </c>
      <c r="K41" s="43" t="n">
        <f aca="false">ROUND((H41*F41),2)</f>
        <v>0</v>
      </c>
      <c r="L41" s="43" t="n">
        <f aca="false">ROUND((K41+J41),2)</f>
        <v>0</v>
      </c>
      <c r="M41" s="43" t="n">
        <f aca="false">ROUND((IF(P41="BDI 1",((1+($S$3/100))*G41),((1+($S$4/100))*G41))),2)</f>
        <v>0</v>
      </c>
      <c r="N41" s="43" t="n">
        <f aca="false">ROUND((IF(P41="BDI 1",((1+($S$3/100))*H41),((1+($S$4/100))*H41))),2)</f>
        <v>0</v>
      </c>
      <c r="O41" s="43" t="n">
        <f aca="false">ROUND((M41+N41),2)</f>
        <v>0</v>
      </c>
      <c r="P41" s="44" t="s">
        <v>25</v>
      </c>
      <c r="Q41" s="43" t="n">
        <f aca="false">ROUND(M41*F41,2)</f>
        <v>0</v>
      </c>
      <c r="R41" s="43" t="n">
        <f aca="false">ROUND(N41*F41,2)</f>
        <v>0</v>
      </c>
      <c r="S41" s="45" t="n">
        <f aca="false">ROUND(Q41+R41,2)</f>
        <v>0</v>
      </c>
    </row>
    <row r="42" customFormat="false" ht="15" hidden="false" customHeight="false" outlineLevel="0" collapsed="false">
      <c r="A42" s="55"/>
      <c r="B42" s="55"/>
      <c r="C42" s="56"/>
      <c r="D42" s="57"/>
      <c r="E42" s="56"/>
      <c r="F42" s="58"/>
      <c r="G42" s="58"/>
      <c r="H42" s="58"/>
      <c r="I42" s="59"/>
      <c r="J42" s="59"/>
      <c r="K42" s="59"/>
      <c r="L42" s="59"/>
      <c r="M42" s="52"/>
      <c r="N42" s="52"/>
      <c r="O42" s="52"/>
      <c r="P42" s="52"/>
      <c r="Q42" s="52"/>
      <c r="R42" s="52"/>
      <c r="S42" s="53"/>
    </row>
    <row r="43" customFormat="false" ht="15" hidden="false" customHeight="false" outlineLevel="0" collapsed="false">
      <c r="A43" s="31" t="n">
        <v>5</v>
      </c>
      <c r="B43" s="32"/>
      <c r="C43" s="33"/>
      <c r="D43" s="34" t="s">
        <v>54</v>
      </c>
      <c r="E43" s="34"/>
      <c r="F43" s="35"/>
      <c r="G43" s="36"/>
      <c r="H43" s="36"/>
      <c r="I43" s="36"/>
      <c r="J43" s="36" t="n">
        <f aca="false">ROUND(SUM(J44:J67),2)</f>
        <v>0</v>
      </c>
      <c r="K43" s="36" t="n">
        <f aca="false">ROUND(SUM(K44:K67),2)</f>
        <v>0</v>
      </c>
      <c r="L43" s="36" t="n">
        <f aca="false">ROUND(SUM(L44:L67),2)</f>
        <v>0</v>
      </c>
      <c r="M43" s="36"/>
      <c r="N43" s="36"/>
      <c r="O43" s="36"/>
      <c r="P43" s="36"/>
      <c r="Q43" s="36" t="n">
        <f aca="false">ROUND((SUM(Q44:Q67)),2)</f>
        <v>0</v>
      </c>
      <c r="R43" s="36" t="n">
        <f aca="false">ROUND((SUM(R44:R67)),2)</f>
        <v>0</v>
      </c>
      <c r="S43" s="36" t="n">
        <f aca="false">ROUND((SUM(S44:S67)),2)</f>
        <v>0</v>
      </c>
    </row>
    <row r="44" customFormat="false" ht="32.8" hidden="false" customHeight="false" outlineLevel="0" collapsed="false">
      <c r="A44" s="37" t="s">
        <v>55</v>
      </c>
      <c r="B44" s="38" t="s">
        <v>6</v>
      </c>
      <c r="C44" s="39" t="n">
        <v>104790</v>
      </c>
      <c r="D44" s="40" t="str">
        <f aca="false">IF(B44="SINAPI",(VLOOKUP(C44,Plan1!$B:$G,2,0)),(IF(B44="COMPOSIÇÃO",((VLOOKUP(C44,Plan1!$B:$L,3,0))),(VLOOKUP(C44,Plan1!$B:$L,2,0)))))</f>
        <v>DEMOLIÇÃO DE PISO DE CONCRETO SIMPLES, DE FORMA MECANIZADA COM MARTELETE, SEM REAPROVEITAMENTO. AF_09/2023</v>
      </c>
      <c r="E44" s="41" t="str">
        <f aca="false">IF(B44="SINAPI",(VLOOKUP(C44,Plan1!$B:$G,3,0)),(IF(B44="COMPOSIÇÃO",((VLOOKUP(C44,Plan1!$B:$L,4,0))),(VLOOKUP(C44,Plan1!$B:$L,5,0)))))</f>
        <v>M3</v>
      </c>
      <c r="F44" s="42" t="n">
        <v>1.13</v>
      </c>
      <c r="G44" s="43"/>
      <c r="H44" s="43"/>
      <c r="I44" s="43" t="n">
        <f aca="false">ROUND((H44+G44),2)</f>
        <v>0</v>
      </c>
      <c r="J44" s="43" t="n">
        <f aca="false">ROUND((G44*F44),2)</f>
        <v>0</v>
      </c>
      <c r="K44" s="43" t="n">
        <f aca="false">ROUND((H44*F44),2)</f>
        <v>0</v>
      </c>
      <c r="L44" s="43" t="n">
        <f aca="false">ROUND((K44+J44),2)</f>
        <v>0</v>
      </c>
      <c r="M44" s="43" t="n">
        <f aca="false">ROUND((IF(P44="BDI 1",((1+($S$3/100))*G44),((1+($S$4/100))*G44))),2)</f>
        <v>0</v>
      </c>
      <c r="N44" s="43" t="n">
        <f aca="false">ROUND((IF(P44="BDI 1",((1+($S$3/100))*H44),((1+($S$4/100))*H44))),2)</f>
        <v>0</v>
      </c>
      <c r="O44" s="43" t="n">
        <f aca="false">ROUND((M44+N44),2)</f>
        <v>0</v>
      </c>
      <c r="P44" s="44" t="s">
        <v>25</v>
      </c>
      <c r="Q44" s="43" t="n">
        <f aca="false">ROUND(M44*F44,2)</f>
        <v>0</v>
      </c>
      <c r="R44" s="43" t="n">
        <f aca="false">ROUND(N44*F44,2)</f>
        <v>0</v>
      </c>
      <c r="S44" s="45" t="n">
        <f aca="false">ROUND(Q44+R44,2)</f>
        <v>0</v>
      </c>
    </row>
    <row r="45" customFormat="false" ht="22.35" hidden="false" customHeight="false" outlineLevel="0" collapsed="false">
      <c r="A45" s="37" t="s">
        <v>56</v>
      </c>
      <c r="B45" s="38" t="s">
        <v>6</v>
      </c>
      <c r="C45" s="39" t="n">
        <v>93358</v>
      </c>
      <c r="D45" s="40" t="str">
        <f aca="false">IF(B45="SINAPI",(VLOOKUP(C45,Plan1!$B:$G,2,0)),(IF(B45="COMPOSIÇÃO",((VLOOKUP(C45,Plan1!$B:$L,3,0))),(VLOOKUP(C45,Plan1!$B:$L,2,0)))))</f>
        <v>ESCAVAÇÃO MANUAL DE VALA COM PROFUNDIDADE MENOR OU IGUAL A 1,30 M. AF_02/2021</v>
      </c>
      <c r="E45" s="41" t="str">
        <f aca="false">IF(B45="SINAPI",(VLOOKUP(C45,Plan1!$B:$G,3,0)),(IF(B45="COMPOSIÇÃO",((VLOOKUP(C45,Plan1!$B:$L,4,0))),(VLOOKUP(C45,Plan1!$B:$L,5,0)))))</f>
        <v>M3</v>
      </c>
      <c r="F45" s="42" t="n">
        <v>20</v>
      </c>
      <c r="G45" s="43"/>
      <c r="H45" s="43"/>
      <c r="I45" s="43" t="n">
        <f aca="false">ROUND((H45+G45),2)</f>
        <v>0</v>
      </c>
      <c r="J45" s="43" t="n">
        <f aca="false">ROUND((G45*F45),2)</f>
        <v>0</v>
      </c>
      <c r="K45" s="43" t="n">
        <f aca="false">ROUND((H45*F45),2)</f>
        <v>0</v>
      </c>
      <c r="L45" s="43" t="n">
        <f aca="false">ROUND((K45+J45),2)</f>
        <v>0</v>
      </c>
      <c r="M45" s="43" t="n">
        <f aca="false">ROUND((IF(P45="BDI 1",((1+($S$3/100))*G45),((1+($S$4/100))*G45))),2)</f>
        <v>0</v>
      </c>
      <c r="N45" s="43" t="n">
        <f aca="false">ROUND((IF(P45="BDI 1",((1+($S$3/100))*H45),((1+($S$4/100))*H45))),2)</f>
        <v>0</v>
      </c>
      <c r="O45" s="43" t="n">
        <f aca="false">ROUND((M45+N45),2)</f>
        <v>0</v>
      </c>
      <c r="P45" s="44" t="s">
        <v>25</v>
      </c>
      <c r="Q45" s="43" t="n">
        <f aca="false">ROUND(M45*F45,2)</f>
        <v>0</v>
      </c>
      <c r="R45" s="43" t="n">
        <f aca="false">ROUND(N45*F45,2)</f>
        <v>0</v>
      </c>
      <c r="S45" s="45" t="n">
        <f aca="false">ROUND(Q45+R45,2)</f>
        <v>0</v>
      </c>
    </row>
    <row r="46" customFormat="false" ht="22.35" hidden="false" customHeight="false" outlineLevel="0" collapsed="false">
      <c r="A46" s="37" t="s">
        <v>57</v>
      </c>
      <c r="B46" s="38" t="s">
        <v>6</v>
      </c>
      <c r="C46" s="54" t="n">
        <v>101616</v>
      </c>
      <c r="D46" s="40" t="str">
        <f aca="false">IF(B46="SINAPI",(VLOOKUP(C46,Plan1!$B:$G,2,0)),(IF(B46="COMPOSIÇÃO",((VLOOKUP(C46,Plan1!$B:$L,3,0))),(VLOOKUP(C46,Plan1!$B:$L,2,0)))))</f>
        <v>PREPARO DE FUNDO DE VALA COM LARGURA MENOR QUE 1,5 M (ACERTO DO SOLO NATURAL). AF_08/2020</v>
      </c>
      <c r="E46" s="41" t="str">
        <f aca="false">IF(B46="SINAPI",(VLOOKUP(C46,Plan1!$B:$G,3,0)),(IF(B46="COMPOSIÇÃO",((VLOOKUP(C46,Plan1!$B:$L,4,0))),(VLOOKUP(C46,Plan1!$B:$L,5,0)))))</f>
        <v>M2</v>
      </c>
      <c r="F46" s="42" t="n">
        <v>18</v>
      </c>
      <c r="G46" s="43"/>
      <c r="H46" s="43"/>
      <c r="I46" s="43" t="n">
        <f aca="false">ROUND((H46+G46),2)</f>
        <v>0</v>
      </c>
      <c r="J46" s="43" t="n">
        <f aca="false">ROUND((G46*F46),2)</f>
        <v>0</v>
      </c>
      <c r="K46" s="43" t="n">
        <f aca="false">ROUND((H46*F46),2)</f>
        <v>0</v>
      </c>
      <c r="L46" s="43" t="n">
        <f aca="false">ROUND((K46+J46),2)</f>
        <v>0</v>
      </c>
      <c r="M46" s="43" t="n">
        <f aca="false">ROUND((IF(P46="BDI 1",((1+($S$3/100))*G46),((1+($S$4/100))*G46))),2)</f>
        <v>0</v>
      </c>
      <c r="N46" s="43" t="n">
        <f aca="false">ROUND((IF(P46="BDI 1",((1+($S$3/100))*H46),((1+($S$4/100))*H46))),2)</f>
        <v>0</v>
      </c>
      <c r="O46" s="43" t="n">
        <f aca="false">ROUND((M46+N46),2)</f>
        <v>0</v>
      </c>
      <c r="P46" s="44" t="s">
        <v>25</v>
      </c>
      <c r="Q46" s="43" t="n">
        <f aca="false">ROUND(M46*F46,2)</f>
        <v>0</v>
      </c>
      <c r="R46" s="43" t="n">
        <f aca="false">ROUND(N46*F46,2)</f>
        <v>0</v>
      </c>
      <c r="S46" s="45" t="n">
        <f aca="false">ROUND(Q46+R46,2)</f>
        <v>0</v>
      </c>
    </row>
    <row r="47" customFormat="false" ht="32.8" hidden="false" customHeight="false" outlineLevel="0" collapsed="false">
      <c r="A47" s="37" t="s">
        <v>58</v>
      </c>
      <c r="B47" s="38" t="s">
        <v>6</v>
      </c>
      <c r="C47" s="39" t="n">
        <v>89707</v>
      </c>
      <c r="D47" s="40" t="str">
        <f aca="false">IF(B47="SINAPI",(VLOOKUP(C47,Plan1!$B:$G,2,0)),(IF(B47="COMPOSIÇÃO",((VLOOKUP(C47,Plan1!$B:$L,3,0))),(VLOOKUP(C47,Plan1!$B:$L,2,0)))))</f>
        <v>CAIXA SIFONADA, PVC, DN 100 X 100 X 50 MM, JUNTA ELÁSTICA, FORNECIDA E INSTALADA EM RAMAL DE DESCARGA OU EM RAMAL DE ESGOTO SANITÁRIO. AF_08/2022</v>
      </c>
      <c r="E47" s="41" t="str">
        <f aca="false">IF(B47="SINAPI",(VLOOKUP(C47,Plan1!$B:$G,3,0)),(IF(B47="COMPOSIÇÃO",((VLOOKUP(C47,Plan1!$B:$L,4,0))),(VLOOKUP(C47,Plan1!$B:$L,5,0)))))</f>
        <v>UN</v>
      </c>
      <c r="F47" s="42" t="n">
        <v>12</v>
      </c>
      <c r="G47" s="43"/>
      <c r="H47" s="43"/>
      <c r="I47" s="43" t="n">
        <f aca="false">ROUND((H47+G47),2)</f>
        <v>0</v>
      </c>
      <c r="J47" s="43" t="n">
        <f aca="false">ROUND((G47*F47),2)</f>
        <v>0</v>
      </c>
      <c r="K47" s="43" t="n">
        <f aca="false">ROUND((H47*F47),2)</f>
        <v>0</v>
      </c>
      <c r="L47" s="43" t="n">
        <f aca="false">ROUND((K47+J47),2)</f>
        <v>0</v>
      </c>
      <c r="M47" s="43" t="n">
        <f aca="false">ROUND((IF(P47="BDI 1",((1+($S$3/100))*G47),((1+($S$4/100))*G47))),2)</f>
        <v>0</v>
      </c>
      <c r="N47" s="43" t="n">
        <f aca="false">ROUND((IF(P47="BDI 1",((1+($S$3/100))*H47),((1+($S$4/100))*H47))),2)</f>
        <v>0</v>
      </c>
      <c r="O47" s="43" t="n">
        <f aca="false">ROUND((M47+N47),2)</f>
        <v>0</v>
      </c>
      <c r="P47" s="44" t="s">
        <v>25</v>
      </c>
      <c r="Q47" s="43" t="n">
        <f aca="false">ROUND(M47*F47,2)</f>
        <v>0</v>
      </c>
      <c r="R47" s="43" t="n">
        <f aca="false">ROUND(N47*F47,2)</f>
        <v>0</v>
      </c>
      <c r="S47" s="45" t="n">
        <f aca="false">ROUND(Q47+R47,2)</f>
        <v>0</v>
      </c>
    </row>
    <row r="48" customFormat="false" ht="32.8" hidden="false" customHeight="false" outlineLevel="0" collapsed="false">
      <c r="A48" s="37" t="s">
        <v>59</v>
      </c>
      <c r="B48" s="38" t="s">
        <v>6</v>
      </c>
      <c r="C48" s="39" t="n">
        <v>89710</v>
      </c>
      <c r="D48" s="40" t="str">
        <f aca="false">IF(B48="SINAPI",(VLOOKUP(C48,Plan1!$B:$G,2,0)),(IF(B48="COMPOSIÇÃO",((VLOOKUP(C48,Plan1!$B:$L,3,0))),(VLOOKUP(C48,Plan1!$B:$L,2,0)))))</f>
        <v>RALO SECO, PVC, DN 100 X 40 MM, JUNTA SOLDÁVEL, FORNECIDO E INSTALADO EM RAMAL DE DESCARGA OU EM RAMAL DE ESGOTO SANITÁRIO. AF_08/2022</v>
      </c>
      <c r="E48" s="41" t="str">
        <f aca="false">IF(B48="SINAPI",(VLOOKUP(C48,Plan1!$B:$G,3,0)),(IF(B48="COMPOSIÇÃO",((VLOOKUP(C48,Plan1!$B:$L,4,0))),(VLOOKUP(C48,Plan1!$B:$L,5,0)))))</f>
        <v>UN</v>
      </c>
      <c r="F48" s="42" t="n">
        <v>1</v>
      </c>
      <c r="G48" s="43"/>
      <c r="H48" s="43"/>
      <c r="I48" s="43" t="n">
        <f aca="false">ROUND((H48+G48),2)</f>
        <v>0</v>
      </c>
      <c r="J48" s="43" t="n">
        <f aca="false">ROUND((G48*F48),2)</f>
        <v>0</v>
      </c>
      <c r="K48" s="43" t="n">
        <f aca="false">ROUND((H48*F48),2)</f>
        <v>0</v>
      </c>
      <c r="L48" s="43" t="n">
        <f aca="false">ROUND((K48+J48),2)</f>
        <v>0</v>
      </c>
      <c r="M48" s="43" t="n">
        <f aca="false">ROUND((IF(P48="BDI 1",((1+($S$3/100))*G48),((1+($S$4/100))*G48))),2)</f>
        <v>0</v>
      </c>
      <c r="N48" s="43" t="n">
        <f aca="false">ROUND((IF(P48="BDI 1",((1+($S$3/100))*H48),((1+($S$4/100))*H48))),2)</f>
        <v>0</v>
      </c>
      <c r="O48" s="43" t="n">
        <f aca="false">ROUND((M48+N48),2)</f>
        <v>0</v>
      </c>
      <c r="P48" s="44" t="s">
        <v>25</v>
      </c>
      <c r="Q48" s="43" t="n">
        <f aca="false">ROUND(M48*F48,2)</f>
        <v>0</v>
      </c>
      <c r="R48" s="43" t="n">
        <f aca="false">ROUND(N48*F48,2)</f>
        <v>0</v>
      </c>
      <c r="S48" s="45" t="n">
        <f aca="false">ROUND(Q48+R48,2)</f>
        <v>0</v>
      </c>
    </row>
    <row r="49" customFormat="false" ht="32.8" hidden="false" customHeight="false" outlineLevel="0" collapsed="false">
      <c r="A49" s="37" t="s">
        <v>60</v>
      </c>
      <c r="B49" s="38" t="s">
        <v>6</v>
      </c>
      <c r="C49" s="54" t="n">
        <v>97974</v>
      </c>
      <c r="D49" s="40" t="str">
        <f aca="false">IF(B49="SINAPI",(VLOOKUP(C49,Plan1!$B:$G,2,0)),(IF(B49="COMPOSIÇÃO",((VLOOKUP(C49,Plan1!$B:$L,3,0))),(VLOOKUP(C49,Plan1!$B:$L,2,0)))))</f>
        <v>POÇO DE INSPEÇÃO CIRCULAR PARA ESGOTO, EM CONCRETO PRÉ-MOLDADO, DIÂMETRO INTERNO = 0,60 M, PROFUNDIDADE = 0,90 M, EXCLUINDO TAMPÃO. AF_12/2020_PA</v>
      </c>
      <c r="E49" s="41" t="str">
        <f aca="false">IF(B49="SINAPI",(VLOOKUP(C49,Plan1!$B:$G,3,0)),(IF(B49="COMPOSIÇÃO",((VLOOKUP(C49,Plan1!$B:$L,4,0))),(VLOOKUP(C49,Plan1!$B:$L,5,0)))))</f>
        <v>UN</v>
      </c>
      <c r="F49" s="42" t="n">
        <v>8</v>
      </c>
      <c r="G49" s="43"/>
      <c r="H49" s="43"/>
      <c r="I49" s="43" t="n">
        <f aca="false">ROUND((H49+G49),2)</f>
        <v>0</v>
      </c>
      <c r="J49" s="43" t="n">
        <f aca="false">ROUND((G49*F49),2)</f>
        <v>0</v>
      </c>
      <c r="K49" s="43" t="n">
        <f aca="false">ROUND((H49*F49),2)</f>
        <v>0</v>
      </c>
      <c r="L49" s="43" t="n">
        <f aca="false">ROUND((K49+J49),2)</f>
        <v>0</v>
      </c>
      <c r="M49" s="43" t="n">
        <f aca="false">ROUND((IF(P49="BDI 1",((1+($S$3/100))*G49),((1+($S$4/100))*G49))),2)</f>
        <v>0</v>
      </c>
      <c r="N49" s="43" t="n">
        <f aca="false">ROUND((IF(P49="BDI 1",((1+($S$3/100))*H49),((1+($S$4/100))*H49))),2)</f>
        <v>0</v>
      </c>
      <c r="O49" s="43" t="n">
        <f aca="false">ROUND((M49+N49),2)</f>
        <v>0</v>
      </c>
      <c r="P49" s="44" t="s">
        <v>25</v>
      </c>
      <c r="Q49" s="43" t="n">
        <f aca="false">ROUND(M49*F49,2)</f>
        <v>0</v>
      </c>
      <c r="R49" s="43" t="n">
        <f aca="false">ROUND(N49*F49,2)</f>
        <v>0</v>
      </c>
      <c r="S49" s="45" t="n">
        <f aca="false">ROUND(Q49+R49,2)</f>
        <v>0</v>
      </c>
    </row>
    <row r="50" customFormat="false" ht="32.8" hidden="false" customHeight="false" outlineLevel="0" collapsed="false">
      <c r="A50" s="37" t="s">
        <v>61</v>
      </c>
      <c r="B50" s="38" t="s">
        <v>6</v>
      </c>
      <c r="C50" s="39" t="n">
        <v>98115</v>
      </c>
      <c r="D50" s="40" t="str">
        <f aca="false">IF(B50="SINAPI",(VLOOKUP(C50,Plan1!$B:$G,2,0)),(IF(B50="COMPOSIÇÃO",((VLOOKUP(C50,Plan1!$B:$L,3,0))),(VLOOKUP(C50,Plan1!$B:$L,2,0)))))</f>
        <v>TAMPA CIRCULAR PARA ESGOTO E DRENAGEM, EM CONCRETO PRÉ-MOLDADO, DIÂMETRO INTERNO = 0,60 M E ALTURA = 0,10 M. AF_12/2020</v>
      </c>
      <c r="E50" s="41" t="str">
        <f aca="false">IF(B50="SINAPI",(VLOOKUP(C50,Plan1!$B:$G,3,0)),(IF(B50="COMPOSIÇÃO",((VLOOKUP(C50,Plan1!$B:$L,4,0))),(VLOOKUP(C50,Plan1!$B:$L,5,0)))))</f>
        <v>UN</v>
      </c>
      <c r="F50" s="42" t="n">
        <v>8</v>
      </c>
      <c r="G50" s="43"/>
      <c r="H50" s="43"/>
      <c r="I50" s="43" t="n">
        <f aca="false">ROUND((H50+G50),2)</f>
        <v>0</v>
      </c>
      <c r="J50" s="43" t="n">
        <f aca="false">ROUND((G50*F50),2)</f>
        <v>0</v>
      </c>
      <c r="K50" s="43" t="n">
        <f aca="false">ROUND((H50*F50),2)</f>
        <v>0</v>
      </c>
      <c r="L50" s="43" t="n">
        <f aca="false">ROUND((K50+J50),2)</f>
        <v>0</v>
      </c>
      <c r="M50" s="43" t="n">
        <f aca="false">ROUND((IF(P50="BDI 1",((1+($S$3/100))*G50),((1+($S$4/100))*G50))),2)</f>
        <v>0</v>
      </c>
      <c r="N50" s="43" t="n">
        <f aca="false">ROUND((IF(P50="BDI 1",((1+($S$3/100))*H50),((1+($S$4/100))*H50))),2)</f>
        <v>0</v>
      </c>
      <c r="O50" s="43" t="n">
        <f aca="false">ROUND((M50+N50),2)</f>
        <v>0</v>
      </c>
      <c r="P50" s="44" t="s">
        <v>25</v>
      </c>
      <c r="Q50" s="43" t="n">
        <f aca="false">ROUND(M50*F50,2)</f>
        <v>0</v>
      </c>
      <c r="R50" s="43" t="n">
        <f aca="false">ROUND(N50*F50,2)</f>
        <v>0</v>
      </c>
      <c r="S50" s="45" t="n">
        <f aca="false">ROUND(Q50+R50,2)</f>
        <v>0</v>
      </c>
    </row>
    <row r="51" customFormat="false" ht="32.8" hidden="false" customHeight="false" outlineLevel="0" collapsed="false">
      <c r="A51" s="37" t="s">
        <v>62</v>
      </c>
      <c r="B51" s="38" t="s">
        <v>6</v>
      </c>
      <c r="C51" s="39" t="n">
        <v>90724</v>
      </c>
      <c r="D51" s="40" t="str">
        <f aca="false">IF(B51="SINAPI",(VLOOKUP(C51,Plan1!$B:$G,2,0)),(IF(B51="COMPOSIÇÃO",((VLOOKUP(C51,Plan1!$B:$L,3,0))),(VLOOKUP(C51,Plan1!$B:$L,2,0)))))</f>
        <v>JUNTA ARGAMASSADA ENTRE TUBO DN 100 MM E O POÇO DE VISITA/ CAIXA DE CONCRETO OU ALVENARIA EM REDES DE ESGOTO. AF_01/2021</v>
      </c>
      <c r="E51" s="41" t="str">
        <f aca="false">IF(B51="SINAPI",(VLOOKUP(C51,Plan1!$B:$G,3,0)),(IF(B51="COMPOSIÇÃO",((VLOOKUP(C51,Plan1!$B:$L,4,0))),(VLOOKUP(C51,Plan1!$B:$L,5,0)))))</f>
        <v>UN</v>
      </c>
      <c r="F51" s="42" t="n">
        <v>27</v>
      </c>
      <c r="G51" s="43"/>
      <c r="H51" s="43"/>
      <c r="I51" s="43" t="n">
        <f aca="false">ROUND((H51+G51),2)</f>
        <v>0</v>
      </c>
      <c r="J51" s="43" t="n">
        <f aca="false">ROUND((G51*F51),2)</f>
        <v>0</v>
      </c>
      <c r="K51" s="43" t="n">
        <f aca="false">ROUND((H51*F51),2)</f>
        <v>0</v>
      </c>
      <c r="L51" s="43" t="n">
        <f aca="false">ROUND((K51+J51),2)</f>
        <v>0</v>
      </c>
      <c r="M51" s="43" t="n">
        <f aca="false">ROUND((IF(P51="BDI 1",((1+($S$3/100))*G51),((1+($S$4/100))*G51))),2)</f>
        <v>0</v>
      </c>
      <c r="N51" s="43" t="n">
        <f aca="false">ROUND((IF(P51="BDI 1",((1+($S$3/100))*H51),((1+($S$4/100))*H51))),2)</f>
        <v>0</v>
      </c>
      <c r="O51" s="43" t="n">
        <f aca="false">ROUND((M51+N51),2)</f>
        <v>0</v>
      </c>
      <c r="P51" s="44" t="s">
        <v>25</v>
      </c>
      <c r="Q51" s="43" t="n">
        <f aca="false">ROUND(M51*F51,2)</f>
        <v>0</v>
      </c>
      <c r="R51" s="43" t="n">
        <f aca="false">ROUND(N51*F51,2)</f>
        <v>0</v>
      </c>
      <c r="S51" s="45" t="n">
        <f aca="false">ROUND(Q51+R51,2)</f>
        <v>0</v>
      </c>
    </row>
    <row r="52" customFormat="false" ht="32.8" hidden="false" customHeight="false" outlineLevel="0" collapsed="false">
      <c r="A52" s="37" t="s">
        <v>63</v>
      </c>
      <c r="B52" s="38" t="s">
        <v>6</v>
      </c>
      <c r="C52" s="54" t="n">
        <v>90725</v>
      </c>
      <c r="D52" s="40" t="str">
        <f aca="false">IF(B52="SINAPI",(VLOOKUP(C52,Plan1!$B:$G,2,0)),(IF(B52="COMPOSIÇÃO",((VLOOKUP(C52,Plan1!$B:$L,3,0))),(VLOOKUP(C52,Plan1!$B:$L,2,0)))))</f>
        <v>JUNTA ARGAMASSADA ENTRE TUBO DN 150 MM E O POÇO DE VISITA/ CAIXA DE CONCRETO OU ALVENARIA EM REDES DE ESGOTO. AF_01/2021</v>
      </c>
      <c r="E52" s="41" t="str">
        <f aca="false">IF(B52="SINAPI",(VLOOKUP(C52,Plan1!$B:$G,3,0)),(IF(B52="COMPOSIÇÃO",((VLOOKUP(C52,Plan1!$B:$L,4,0))),(VLOOKUP(C52,Plan1!$B:$L,5,0)))))</f>
        <v>UN</v>
      </c>
      <c r="F52" s="42" t="n">
        <v>2</v>
      </c>
      <c r="G52" s="43"/>
      <c r="H52" s="43"/>
      <c r="I52" s="43" t="n">
        <f aca="false">ROUND((H52+G52),2)</f>
        <v>0</v>
      </c>
      <c r="J52" s="43" t="n">
        <f aca="false">ROUND((G52*F52),2)</f>
        <v>0</v>
      </c>
      <c r="K52" s="43" t="n">
        <f aca="false">ROUND((H52*F52),2)</f>
        <v>0</v>
      </c>
      <c r="L52" s="43" t="n">
        <f aca="false">ROUND((K52+J52),2)</f>
        <v>0</v>
      </c>
      <c r="M52" s="43" t="n">
        <f aca="false">ROUND((IF(P52="BDI 1",((1+($S$3/100))*G52),((1+($S$4/100))*G52))),2)</f>
        <v>0</v>
      </c>
      <c r="N52" s="43" t="n">
        <f aca="false">ROUND((IF(P52="BDI 1",((1+($S$3/100))*H52),((1+($S$4/100))*H52))),2)</f>
        <v>0</v>
      </c>
      <c r="O52" s="43" t="n">
        <f aca="false">ROUND((M52+N52),2)</f>
        <v>0</v>
      </c>
      <c r="P52" s="44" t="s">
        <v>25</v>
      </c>
      <c r="Q52" s="43" t="n">
        <f aca="false">ROUND(M52*F52,2)</f>
        <v>0</v>
      </c>
      <c r="R52" s="43" t="n">
        <f aca="false">ROUND(N52*F52,2)</f>
        <v>0</v>
      </c>
      <c r="S52" s="45" t="n">
        <f aca="false">ROUND(Q52+R52,2)</f>
        <v>0</v>
      </c>
    </row>
    <row r="53" customFormat="false" ht="32.8" hidden="false" customHeight="false" outlineLevel="0" collapsed="false">
      <c r="A53" s="37" t="s">
        <v>64</v>
      </c>
      <c r="B53" s="38" t="s">
        <v>6</v>
      </c>
      <c r="C53" s="39" t="n">
        <v>89711</v>
      </c>
      <c r="D53" s="40" t="str">
        <f aca="false">IF(B53="SINAPI",(VLOOKUP(C53,Plan1!$B:$G,2,0)),(IF(B53="COMPOSIÇÃO",((VLOOKUP(C53,Plan1!$B:$L,3,0))),(VLOOKUP(C53,Plan1!$B:$L,2,0)))))</f>
        <v>TUBO PVC, SERIE NORMAL, ESGOTO PREDIAL, DN 40 MM, FORNECIDO E INSTALADO EM RAMAL DE DESCARGA OU RAMAL DE ESGOTO SANITÁRIO. AF_08/2022</v>
      </c>
      <c r="E53" s="41" t="str">
        <f aca="false">IF(B53="SINAPI",(VLOOKUP(C53,Plan1!$B:$G,3,0)),(IF(B53="COMPOSIÇÃO",((VLOOKUP(C53,Plan1!$B:$L,4,0))),(VLOOKUP(C53,Plan1!$B:$L,5,0)))))</f>
        <v>M</v>
      </c>
      <c r="F53" s="42" t="n">
        <v>22.72</v>
      </c>
      <c r="G53" s="43"/>
      <c r="H53" s="43"/>
      <c r="I53" s="43" t="n">
        <f aca="false">ROUND((H53+G53),2)</f>
        <v>0</v>
      </c>
      <c r="J53" s="43" t="n">
        <f aca="false">ROUND((G53*F53),2)</f>
        <v>0</v>
      </c>
      <c r="K53" s="43" t="n">
        <f aca="false">ROUND((H53*F53),2)</f>
        <v>0</v>
      </c>
      <c r="L53" s="43" t="n">
        <f aca="false">ROUND((K53+J53),2)</f>
        <v>0</v>
      </c>
      <c r="M53" s="43" t="n">
        <f aca="false">ROUND((IF(P53="BDI 1",((1+($S$3/100))*G53),((1+($S$4/100))*G53))),2)</f>
        <v>0</v>
      </c>
      <c r="N53" s="43" t="n">
        <f aca="false">ROUND((IF(P53="BDI 1",((1+($S$3/100))*H53),((1+($S$4/100))*H53))),2)</f>
        <v>0</v>
      </c>
      <c r="O53" s="43" t="n">
        <f aca="false">ROUND((M53+N53),2)</f>
        <v>0</v>
      </c>
      <c r="P53" s="44" t="s">
        <v>25</v>
      </c>
      <c r="Q53" s="43" t="n">
        <f aca="false">ROUND(M53*F53,2)</f>
        <v>0</v>
      </c>
      <c r="R53" s="43" t="n">
        <f aca="false">ROUND(N53*F53,2)</f>
        <v>0</v>
      </c>
      <c r="S53" s="45" t="n">
        <f aca="false">ROUND(Q53+R53,2)</f>
        <v>0</v>
      </c>
    </row>
    <row r="54" customFormat="false" ht="32.8" hidden="false" customHeight="false" outlineLevel="0" collapsed="false">
      <c r="A54" s="37" t="s">
        <v>65</v>
      </c>
      <c r="B54" s="38" t="s">
        <v>6</v>
      </c>
      <c r="C54" s="39" t="n">
        <v>89712</v>
      </c>
      <c r="D54" s="40" t="str">
        <f aca="false">IF(B54="SINAPI",(VLOOKUP(C54,Plan1!$B:$G,2,0)),(IF(B54="COMPOSIÇÃO",((VLOOKUP(C54,Plan1!$B:$L,3,0))),(VLOOKUP(C54,Plan1!$B:$L,2,0)))))</f>
        <v>TUBO PVC, SERIE NORMAL, ESGOTO PREDIAL, DN 50 MM, FORNECIDO E INSTALADO EM RAMAL DE DESCARGA OU RAMAL DE ESGOTO SANITÁRIO. AF_08/2022</v>
      </c>
      <c r="E54" s="41" t="str">
        <f aca="false">IF(B54="SINAPI",(VLOOKUP(C54,Plan1!$B:$G,3,0)),(IF(B54="COMPOSIÇÃO",((VLOOKUP(C54,Plan1!$B:$L,4,0))),(VLOOKUP(C54,Plan1!$B:$L,5,0)))))</f>
        <v>M</v>
      </c>
      <c r="F54" s="42" t="n">
        <v>27.56</v>
      </c>
      <c r="G54" s="43"/>
      <c r="H54" s="43"/>
      <c r="I54" s="43" t="n">
        <f aca="false">ROUND((H54+G54),2)</f>
        <v>0</v>
      </c>
      <c r="J54" s="43" t="n">
        <f aca="false">ROUND((G54*F54),2)</f>
        <v>0</v>
      </c>
      <c r="K54" s="43" t="n">
        <f aca="false">ROUND((H54*F54),2)</f>
        <v>0</v>
      </c>
      <c r="L54" s="43" t="n">
        <f aca="false">ROUND((K54+J54),2)</f>
        <v>0</v>
      </c>
      <c r="M54" s="43" t="n">
        <f aca="false">ROUND((IF(P54="BDI 1",((1+($S$3/100))*G54),((1+($S$4/100))*G54))),2)</f>
        <v>0</v>
      </c>
      <c r="N54" s="43" t="n">
        <f aca="false">ROUND((IF(P54="BDI 1",((1+($S$3/100))*H54),((1+($S$4/100))*H54))),2)</f>
        <v>0</v>
      </c>
      <c r="O54" s="43" t="n">
        <f aca="false">ROUND((M54+N54),2)</f>
        <v>0</v>
      </c>
      <c r="P54" s="44" t="s">
        <v>25</v>
      </c>
      <c r="Q54" s="43" t="n">
        <f aca="false">ROUND(M54*F54,2)</f>
        <v>0</v>
      </c>
      <c r="R54" s="43" t="n">
        <f aca="false">ROUND(N54*F54,2)</f>
        <v>0</v>
      </c>
      <c r="S54" s="45" t="n">
        <f aca="false">ROUND(Q54+R54,2)</f>
        <v>0</v>
      </c>
    </row>
    <row r="55" customFormat="false" ht="32.8" hidden="false" customHeight="false" outlineLevel="0" collapsed="false">
      <c r="A55" s="37" t="s">
        <v>66</v>
      </c>
      <c r="B55" s="38" t="s">
        <v>6</v>
      </c>
      <c r="C55" s="39" t="n">
        <v>89713</v>
      </c>
      <c r="D55" s="40" t="str">
        <f aca="false">IF(B55="SINAPI",(VLOOKUP(C55,Plan1!$B:$G,2,0)),(IF(B55="COMPOSIÇÃO",((VLOOKUP(C55,Plan1!$B:$L,3,0))),(VLOOKUP(C55,Plan1!$B:$L,2,0)))))</f>
        <v>TUBO PVC, SERIE NORMAL, ESGOTO PREDIAL, DN 75 MM, FORNECIDO E INSTALADO EM RAMAL DE DESCARGA OU RAMAL DE ESGOTO SANITÁRIO. AF_08/2022</v>
      </c>
      <c r="E55" s="41" t="str">
        <f aca="false">IF(B55="SINAPI",(VLOOKUP(C55,Plan1!$B:$G,3,0)),(IF(B55="COMPOSIÇÃO",((VLOOKUP(C55,Plan1!$B:$L,4,0))),(VLOOKUP(C55,Plan1!$B:$L,5,0)))))</f>
        <v>M</v>
      </c>
      <c r="F55" s="42" t="n">
        <v>25.12</v>
      </c>
      <c r="G55" s="43"/>
      <c r="H55" s="43"/>
      <c r="I55" s="43" t="n">
        <f aca="false">ROUND((H55+G55),2)</f>
        <v>0</v>
      </c>
      <c r="J55" s="43" t="n">
        <f aca="false">ROUND((G55*F55),2)</f>
        <v>0</v>
      </c>
      <c r="K55" s="43" t="n">
        <f aca="false">ROUND((H55*F55),2)</f>
        <v>0</v>
      </c>
      <c r="L55" s="43" t="n">
        <f aca="false">ROUND((K55+J55),2)</f>
        <v>0</v>
      </c>
      <c r="M55" s="43" t="n">
        <f aca="false">ROUND((IF(P55="BDI 1",((1+($S$3/100))*G55),((1+($S$4/100))*G55))),2)</f>
        <v>0</v>
      </c>
      <c r="N55" s="43" t="n">
        <f aca="false">ROUND((IF(P55="BDI 1",((1+($S$3/100))*H55),((1+($S$4/100))*H55))),2)</f>
        <v>0</v>
      </c>
      <c r="O55" s="43" t="n">
        <f aca="false">ROUND((M55+N55),2)</f>
        <v>0</v>
      </c>
      <c r="P55" s="44" t="s">
        <v>25</v>
      </c>
      <c r="Q55" s="43" t="n">
        <f aca="false">ROUND(M55*F55,2)</f>
        <v>0</v>
      </c>
      <c r="R55" s="43" t="n">
        <f aca="false">ROUND(N55*F55,2)</f>
        <v>0</v>
      </c>
      <c r="S55" s="45" t="n">
        <f aca="false">ROUND(Q55+R55,2)</f>
        <v>0</v>
      </c>
    </row>
    <row r="56" customFormat="false" ht="32.8" hidden="false" customHeight="false" outlineLevel="0" collapsed="false">
      <c r="A56" s="37" t="s">
        <v>67</v>
      </c>
      <c r="B56" s="38" t="s">
        <v>6</v>
      </c>
      <c r="C56" s="39" t="n">
        <v>89714</v>
      </c>
      <c r="D56" s="40" t="str">
        <f aca="false">IF(B56="SINAPI",(VLOOKUP(C56,Plan1!$B:$G,2,0)),(IF(B56="COMPOSIÇÃO",((VLOOKUP(C56,Plan1!$B:$L,3,0))),(VLOOKUP(C56,Plan1!$B:$L,2,0)))))</f>
        <v>TUBO PVC, SERIE NORMAL, ESGOTO PREDIAL, DN 100 MM, FORNECIDO E INSTALADO EM RAMAL DE DESCARGA OU RAMAL DE ESGOTO SANITÁRIO. AF_08/2022</v>
      </c>
      <c r="E56" s="41" t="str">
        <f aca="false">IF(B56="SINAPI",(VLOOKUP(C56,Plan1!$B:$G,3,0)),(IF(B56="COMPOSIÇÃO",((VLOOKUP(C56,Plan1!$B:$L,4,0))),(VLOOKUP(C56,Plan1!$B:$L,5,0)))))</f>
        <v>M</v>
      </c>
      <c r="F56" s="42" t="n">
        <v>27.52</v>
      </c>
      <c r="G56" s="43"/>
      <c r="H56" s="43"/>
      <c r="I56" s="43" t="n">
        <f aca="false">ROUND((H56+G56),2)</f>
        <v>0</v>
      </c>
      <c r="J56" s="43" t="n">
        <f aca="false">ROUND((G56*F56),2)</f>
        <v>0</v>
      </c>
      <c r="K56" s="43" t="n">
        <f aca="false">ROUND((H56*F56),2)</f>
        <v>0</v>
      </c>
      <c r="L56" s="43" t="n">
        <f aca="false">ROUND((K56+J56),2)</f>
        <v>0</v>
      </c>
      <c r="M56" s="43" t="n">
        <f aca="false">ROUND((IF(P56="BDI 1",((1+($S$3/100))*G56),((1+($S$4/100))*G56))),2)</f>
        <v>0</v>
      </c>
      <c r="N56" s="43" t="n">
        <f aca="false">ROUND((IF(P56="BDI 1",((1+($S$3/100))*H56),((1+($S$4/100))*H56))),2)</f>
        <v>0</v>
      </c>
      <c r="O56" s="43" t="n">
        <f aca="false">ROUND((M56+N56),2)</f>
        <v>0</v>
      </c>
      <c r="P56" s="44" t="s">
        <v>25</v>
      </c>
      <c r="Q56" s="43" t="n">
        <f aca="false">ROUND(M56*F56,2)</f>
        <v>0</v>
      </c>
      <c r="R56" s="43" t="n">
        <f aca="false">ROUND(N56*F56,2)</f>
        <v>0</v>
      </c>
      <c r="S56" s="45" t="n">
        <f aca="false">ROUND(Q56+R56,2)</f>
        <v>0</v>
      </c>
    </row>
    <row r="57" customFormat="false" ht="32.8" hidden="false" customHeight="false" outlineLevel="0" collapsed="false">
      <c r="A57" s="37" t="s">
        <v>68</v>
      </c>
      <c r="B57" s="38" t="s">
        <v>6</v>
      </c>
      <c r="C57" s="39" t="n">
        <v>90701</v>
      </c>
      <c r="D57" s="40" t="str">
        <f aca="false">IF(B57="SINAPI",(VLOOKUP(C57,Plan1!$B:$G,2,0)),(IF(B57="COMPOSIÇÃO",((VLOOKUP(C57,Plan1!$B:$L,3,0))),(VLOOKUP(C57,Plan1!$B:$L,2,0)))))</f>
        <v>TUBO DE PVC CORRUGADO DE DUPLA PAREDE PARA REDE COLETORA DE ESGOTO, DN 150 MM, JUNTA ELÁSTICA - FORNECIMENTO E ASSENTAMENTO. AF_01/2021</v>
      </c>
      <c r="E57" s="41" t="str">
        <f aca="false">IF(B57="SINAPI",(VLOOKUP(C57,Plan1!$B:$G,3,0)),(IF(B57="COMPOSIÇÃO",((VLOOKUP(C57,Plan1!$B:$L,4,0))),(VLOOKUP(C57,Plan1!$B:$L,5,0)))))</f>
        <v>M</v>
      </c>
      <c r="F57" s="42" t="n">
        <v>60</v>
      </c>
      <c r="G57" s="43"/>
      <c r="H57" s="43"/>
      <c r="I57" s="43" t="n">
        <f aca="false">ROUND((H57+G57),2)</f>
        <v>0</v>
      </c>
      <c r="J57" s="43" t="n">
        <f aca="false">ROUND((G57*F57),2)</f>
        <v>0</v>
      </c>
      <c r="K57" s="43" t="n">
        <f aca="false">ROUND((H57*F57),2)</f>
        <v>0</v>
      </c>
      <c r="L57" s="43" t="n">
        <f aca="false">ROUND((K57+J57),2)</f>
        <v>0</v>
      </c>
      <c r="M57" s="43" t="n">
        <f aca="false">ROUND((IF(P57="BDI 1",((1+($S$3/100))*G57),((1+($S$4/100))*G57))),2)</f>
        <v>0</v>
      </c>
      <c r="N57" s="43" t="n">
        <f aca="false">ROUND((IF(P57="BDI 1",((1+($S$3/100))*H57),((1+($S$4/100))*H57))),2)</f>
        <v>0</v>
      </c>
      <c r="O57" s="43" t="n">
        <f aca="false">ROUND((M57+N57),2)</f>
        <v>0</v>
      </c>
      <c r="P57" s="44" t="s">
        <v>25</v>
      </c>
      <c r="Q57" s="43" t="n">
        <f aca="false">ROUND(M57*F57,2)</f>
        <v>0</v>
      </c>
      <c r="R57" s="43" t="n">
        <f aca="false">ROUND(N57*F57,2)</f>
        <v>0</v>
      </c>
      <c r="S57" s="45" t="n">
        <f aca="false">ROUND(Q57+R57,2)</f>
        <v>0</v>
      </c>
    </row>
    <row r="58" customFormat="false" ht="32.8" hidden="false" customHeight="false" outlineLevel="0" collapsed="false">
      <c r="A58" s="37" t="s">
        <v>69</v>
      </c>
      <c r="B58" s="38" t="s">
        <v>6</v>
      </c>
      <c r="C58" s="54" t="n">
        <v>89865</v>
      </c>
      <c r="D58" s="40" t="str">
        <f aca="false">IF(B58="SINAPI",(VLOOKUP(C58,Plan1!$B:$G,2,0)),(IF(B58="COMPOSIÇÃO",((VLOOKUP(C58,Plan1!$B:$L,3,0))),(VLOOKUP(C58,Plan1!$B:$L,2,0)))))</f>
        <v>TUBO, PVC, SOLDÁVEL, DN 25MM, INSTALADO EM DRENO DE AR-CONDICIONADO - FORNECIMENTO E INSTALAÇÃO. AF_08/2022</v>
      </c>
      <c r="E58" s="41" t="str">
        <f aca="false">IF(B58="SINAPI",(VLOOKUP(C58,Plan1!$B:$G,3,0)),(IF(B58="COMPOSIÇÃO",((VLOOKUP(C58,Plan1!$B:$L,4,0))),(VLOOKUP(C58,Plan1!$B:$L,5,0)))))</f>
        <v>M</v>
      </c>
      <c r="F58" s="42" t="n">
        <v>21</v>
      </c>
      <c r="G58" s="43"/>
      <c r="H58" s="43"/>
      <c r="I58" s="43" t="n">
        <f aca="false">ROUND((H58+G58),2)</f>
        <v>0</v>
      </c>
      <c r="J58" s="43" t="n">
        <f aca="false">ROUND((G58*F58),2)</f>
        <v>0</v>
      </c>
      <c r="K58" s="43" t="n">
        <f aca="false">ROUND((H58*F58),2)</f>
        <v>0</v>
      </c>
      <c r="L58" s="43" t="n">
        <f aca="false">ROUND((K58+J58),2)</f>
        <v>0</v>
      </c>
      <c r="M58" s="43" t="n">
        <f aca="false">ROUND((IF(P58="BDI 1",((1+($S$3/100))*G58),((1+($S$4/100))*G58))),2)</f>
        <v>0</v>
      </c>
      <c r="N58" s="43" t="n">
        <f aca="false">ROUND((IF(P58="BDI 1",((1+($S$3/100))*H58),((1+($S$4/100))*H58))),2)</f>
        <v>0</v>
      </c>
      <c r="O58" s="43" t="n">
        <f aca="false">ROUND((M58+N58),2)</f>
        <v>0</v>
      </c>
      <c r="P58" s="44" t="s">
        <v>25</v>
      </c>
      <c r="Q58" s="43" t="n">
        <f aca="false">ROUND(M58*F58,2)</f>
        <v>0</v>
      </c>
      <c r="R58" s="43" t="n">
        <f aca="false">ROUND(N58*F58,2)</f>
        <v>0</v>
      </c>
      <c r="S58" s="45" t="n">
        <f aca="false">ROUND(Q58+R58,2)</f>
        <v>0</v>
      </c>
    </row>
    <row r="59" customFormat="false" ht="32.8" hidden="false" customHeight="false" outlineLevel="0" collapsed="false">
      <c r="A59" s="37" t="s">
        <v>70</v>
      </c>
      <c r="B59" s="38" t="s">
        <v>6</v>
      </c>
      <c r="C59" s="54" t="n">
        <v>89402</v>
      </c>
      <c r="D59" s="40" t="str">
        <f aca="false">IF(B59="SINAPI",(VLOOKUP(C59,Plan1!$B:$G,2,0)),(IF(B59="COMPOSIÇÃO",((VLOOKUP(C59,Plan1!$B:$L,3,0))),(VLOOKUP(C59,Plan1!$B:$L,2,0)))))</f>
        <v>TUBO, PVC, SOLDÁVEL, DN 25MM, INSTALADO EM RAMAL DE DISTRIBUIÇÃO DE ÁGUA - FORNECIMENTO E INSTALAÇÃO. AF_06/2022</v>
      </c>
      <c r="E59" s="41" t="str">
        <f aca="false">IF(B59="SINAPI",(VLOOKUP(C59,Plan1!$B:$G,3,0)),(IF(B59="COMPOSIÇÃO",((VLOOKUP(C59,Plan1!$B:$L,4,0))),(VLOOKUP(C59,Plan1!$B:$L,5,0)))))</f>
        <v>M</v>
      </c>
      <c r="F59" s="42" t="n">
        <v>37.7</v>
      </c>
      <c r="G59" s="43"/>
      <c r="H59" s="43"/>
      <c r="I59" s="43" t="n">
        <f aca="false">ROUND((H59+G59),2)</f>
        <v>0</v>
      </c>
      <c r="J59" s="43" t="n">
        <f aca="false">ROUND((G59*F59),2)</f>
        <v>0</v>
      </c>
      <c r="K59" s="43" t="n">
        <f aca="false">ROUND((H59*F59),2)</f>
        <v>0</v>
      </c>
      <c r="L59" s="43" t="n">
        <f aca="false">ROUND((K59+J59),2)</f>
        <v>0</v>
      </c>
      <c r="M59" s="43" t="n">
        <f aca="false">ROUND((IF(P59="BDI 1",((1+($S$3/100))*G59),((1+($S$4/100))*G59))),2)</f>
        <v>0</v>
      </c>
      <c r="N59" s="43" t="n">
        <f aca="false">ROUND((IF(P59="BDI 1",((1+($S$3/100))*H59),((1+($S$4/100))*H59))),2)</f>
        <v>0</v>
      </c>
      <c r="O59" s="43" t="n">
        <f aca="false">ROUND((M59+N59),2)</f>
        <v>0</v>
      </c>
      <c r="P59" s="44" t="s">
        <v>25</v>
      </c>
      <c r="Q59" s="43" t="n">
        <f aca="false">ROUND(M59*F59,2)</f>
        <v>0</v>
      </c>
      <c r="R59" s="43" t="n">
        <f aca="false">ROUND(N59*F59,2)</f>
        <v>0</v>
      </c>
      <c r="S59" s="45" t="n">
        <f aca="false">ROUND(Q59+R59,2)</f>
        <v>0</v>
      </c>
    </row>
    <row r="60" customFormat="false" ht="32.8" hidden="false" customHeight="false" outlineLevel="0" collapsed="false">
      <c r="A60" s="37" t="s">
        <v>71</v>
      </c>
      <c r="B60" s="38" t="s">
        <v>6</v>
      </c>
      <c r="C60" s="54" t="n">
        <v>89440</v>
      </c>
      <c r="D60" s="40" t="str">
        <f aca="false">IF(B60="SINAPI",(VLOOKUP(C60,Plan1!$B:$G,2,0)),(IF(B60="COMPOSIÇÃO",((VLOOKUP(C60,Plan1!$B:$L,3,0))),(VLOOKUP(C60,Plan1!$B:$L,2,0)))))</f>
        <v>TE, PVC, SOLDÁVEL, DN 25MM, INSTALADO EM RAMAL DE DISTRIBUIÇÃO DE ÁGUA - FORNECIMENTO E INSTALAÇÃO. AF_06/2022</v>
      </c>
      <c r="E60" s="41" t="str">
        <f aca="false">IF(B60="SINAPI",(VLOOKUP(C60,Plan1!$B:$G,3,0)),(IF(B60="COMPOSIÇÃO",((VLOOKUP(C60,Plan1!$B:$L,4,0))),(VLOOKUP(C60,Plan1!$B:$L,5,0)))))</f>
        <v>UN</v>
      </c>
      <c r="F60" s="42" t="n">
        <v>20</v>
      </c>
      <c r="G60" s="43"/>
      <c r="H60" s="43"/>
      <c r="I60" s="43" t="n">
        <f aca="false">ROUND((H60+G60),2)</f>
        <v>0</v>
      </c>
      <c r="J60" s="43" t="n">
        <f aca="false">ROUND((G60*F60),2)</f>
        <v>0</v>
      </c>
      <c r="K60" s="43" t="n">
        <f aca="false">ROUND((H60*F60),2)</f>
        <v>0</v>
      </c>
      <c r="L60" s="43" t="n">
        <f aca="false">ROUND((K60+J60),2)</f>
        <v>0</v>
      </c>
      <c r="M60" s="43" t="n">
        <f aca="false">ROUND((IF(P60="BDI 1",((1+($S$3/100))*G60),((1+($S$4/100))*G60))),2)</f>
        <v>0</v>
      </c>
      <c r="N60" s="43" t="n">
        <f aca="false">ROUND((IF(P60="BDI 1",((1+($S$3/100))*H60),((1+($S$4/100))*H60))),2)</f>
        <v>0</v>
      </c>
      <c r="O60" s="43" t="n">
        <f aca="false">ROUND((M60+N60),2)</f>
        <v>0</v>
      </c>
      <c r="P60" s="44" t="s">
        <v>25</v>
      </c>
      <c r="Q60" s="43" t="n">
        <f aca="false">ROUND(M60*F60,2)</f>
        <v>0</v>
      </c>
      <c r="R60" s="43" t="n">
        <f aca="false">ROUND(N60*F60,2)</f>
        <v>0</v>
      </c>
      <c r="S60" s="45" t="n">
        <f aca="false">ROUND(Q60+R60,2)</f>
        <v>0</v>
      </c>
    </row>
    <row r="61" customFormat="false" ht="32.8" hidden="false" customHeight="false" outlineLevel="0" collapsed="false">
      <c r="A61" s="37" t="s">
        <v>72</v>
      </c>
      <c r="B61" s="38" t="s">
        <v>6</v>
      </c>
      <c r="C61" s="54" t="n">
        <v>89408</v>
      </c>
      <c r="D61" s="40" t="str">
        <f aca="false">IF(B61="SINAPI",(VLOOKUP(C61,Plan1!$B:$G,2,0)),(IF(B61="COMPOSIÇÃO",((VLOOKUP(C61,Plan1!$B:$L,3,0))),(VLOOKUP(C61,Plan1!$B:$L,2,0)))))</f>
        <v>JOELHO 90 GRAUS, PVC, SOLDÁVEL, DN 25MM, INSTALADO EM RAMAL DE DISTRIBUIÇÃO DE ÁGUA - FORNECIMENTO E INSTALAÇÃO. AF_06/2022</v>
      </c>
      <c r="E61" s="41" t="str">
        <f aca="false">IF(B61="SINAPI",(VLOOKUP(C61,Plan1!$B:$G,3,0)),(IF(B61="COMPOSIÇÃO",((VLOOKUP(C61,Plan1!$B:$L,4,0))),(VLOOKUP(C61,Plan1!$B:$L,5,0)))))</f>
        <v>UN</v>
      </c>
      <c r="F61" s="42" t="n">
        <v>25</v>
      </c>
      <c r="G61" s="43"/>
      <c r="H61" s="43"/>
      <c r="I61" s="43" t="n">
        <f aca="false">ROUND((H61+G61),2)</f>
        <v>0</v>
      </c>
      <c r="J61" s="43" t="n">
        <f aca="false">ROUND((G61*F61),2)</f>
        <v>0</v>
      </c>
      <c r="K61" s="43" t="n">
        <f aca="false">ROUND((H61*F61),2)</f>
        <v>0</v>
      </c>
      <c r="L61" s="43" t="n">
        <f aca="false">ROUND((K61+J61),2)</f>
        <v>0</v>
      </c>
      <c r="M61" s="43" t="n">
        <f aca="false">ROUND((IF(P61="BDI 1",((1+($S$3/100))*G61),((1+($S$4/100))*G61))),2)</f>
        <v>0</v>
      </c>
      <c r="N61" s="43" t="n">
        <f aca="false">ROUND((IF(P61="BDI 1",((1+($S$3/100))*H61),((1+($S$4/100))*H61))),2)</f>
        <v>0</v>
      </c>
      <c r="O61" s="43" t="n">
        <f aca="false">ROUND((M61+N61),2)</f>
        <v>0</v>
      </c>
      <c r="P61" s="44" t="s">
        <v>25</v>
      </c>
      <c r="Q61" s="43" t="n">
        <f aca="false">ROUND(M61*F61,2)</f>
        <v>0</v>
      </c>
      <c r="R61" s="43" t="n">
        <f aca="false">ROUND(N61*F61,2)</f>
        <v>0</v>
      </c>
      <c r="S61" s="45" t="n">
        <f aca="false">ROUND(Q61+R61,2)</f>
        <v>0</v>
      </c>
    </row>
    <row r="62" customFormat="false" ht="22.35" hidden="false" customHeight="false" outlineLevel="0" collapsed="false">
      <c r="A62" s="37" t="s">
        <v>73</v>
      </c>
      <c r="B62" s="38" t="s">
        <v>6</v>
      </c>
      <c r="C62" s="54" t="n">
        <v>103049</v>
      </c>
      <c r="D62" s="40" t="str">
        <f aca="false">IF(B62="SINAPI",(VLOOKUP(C62,Plan1!$B:$G,2,0)),(IF(B62="COMPOSIÇÃO",((VLOOKUP(C62,Plan1!$B:$L,3,0))),(VLOOKUP(C62,Plan1!$B:$L,2,0)))))</f>
        <v>REGISTRO DE PRESSÃO, PVC, SOLDÁVEL, VOLANTE SIMPLES, DN  25 MM - FORNECIMENTO E INSTALAÇÃO. AF_08/2021</v>
      </c>
      <c r="E62" s="41" t="str">
        <f aca="false">IF(B62="SINAPI",(VLOOKUP(C62,Plan1!$B:$G,3,0)),(IF(B62="COMPOSIÇÃO",((VLOOKUP(C62,Plan1!$B:$L,4,0))),(VLOOKUP(C62,Plan1!$B:$L,5,0)))))</f>
        <v>UN</v>
      </c>
      <c r="F62" s="42" t="n">
        <v>7</v>
      </c>
      <c r="G62" s="43"/>
      <c r="H62" s="43"/>
      <c r="I62" s="43" t="n">
        <f aca="false">ROUND((H62+G62),2)</f>
        <v>0</v>
      </c>
      <c r="J62" s="43" t="n">
        <f aca="false">ROUND((G62*F62),2)</f>
        <v>0</v>
      </c>
      <c r="K62" s="43" t="n">
        <f aca="false">ROUND((H62*F62),2)</f>
        <v>0</v>
      </c>
      <c r="L62" s="43" t="n">
        <f aca="false">ROUND((K62+J62),2)</f>
        <v>0</v>
      </c>
      <c r="M62" s="43" t="n">
        <f aca="false">ROUND((IF(P62="BDI 1",((1+($S$3/100))*G62),((1+($S$4/100))*G62))),2)</f>
        <v>0</v>
      </c>
      <c r="N62" s="43" t="n">
        <f aca="false">ROUND((IF(P62="BDI 1",((1+($S$3/100))*H62),((1+($S$4/100))*H62))),2)</f>
        <v>0</v>
      </c>
      <c r="O62" s="43" t="n">
        <f aca="false">ROUND((M62+N62),2)</f>
        <v>0</v>
      </c>
      <c r="P62" s="44" t="s">
        <v>25</v>
      </c>
      <c r="Q62" s="43" t="n">
        <f aca="false">ROUND(M62*F62,2)</f>
        <v>0</v>
      </c>
      <c r="R62" s="43" t="n">
        <f aca="false">ROUND(N62*F62,2)</f>
        <v>0</v>
      </c>
      <c r="S62" s="45" t="n">
        <f aca="false">ROUND(Q62+R62,2)</f>
        <v>0</v>
      </c>
    </row>
    <row r="63" customFormat="false" ht="32.8" hidden="false" customHeight="false" outlineLevel="0" collapsed="false">
      <c r="A63" s="37" t="s">
        <v>74</v>
      </c>
      <c r="B63" s="38" t="s">
        <v>6</v>
      </c>
      <c r="C63" s="54" t="n">
        <v>94794</v>
      </c>
      <c r="D63" s="40" t="str">
        <f aca="false">IF(B63="SINAPI",(VLOOKUP(C63,Plan1!$B:$G,2,0)),(IF(B63="COMPOSIÇÃO",((VLOOKUP(C63,Plan1!$B:$L,3,0))),(VLOOKUP(C63,Plan1!$B:$L,2,0)))))</f>
        <v>REGISTRO DE GAVETA BRUTO, LATÃO, ROSCÁVEL, 1 1/2", COM ACABAMENTO E CANOPLA CROMADOS - FORNECIMENTO E INSTALAÇÃO. AF_08/2021</v>
      </c>
      <c r="E63" s="41" t="str">
        <f aca="false">IF(B63="SINAPI",(VLOOKUP(C63,Plan1!$B:$G,3,0)),(IF(B63="COMPOSIÇÃO",((VLOOKUP(C63,Plan1!$B:$L,4,0))),(VLOOKUP(C63,Plan1!$B:$L,5,0)))))</f>
        <v>UN</v>
      </c>
      <c r="F63" s="42" t="n">
        <v>1</v>
      </c>
      <c r="G63" s="43"/>
      <c r="H63" s="43"/>
      <c r="I63" s="43" t="n">
        <f aca="false">ROUND((H63+G63),2)</f>
        <v>0</v>
      </c>
      <c r="J63" s="43" t="n">
        <f aca="false">ROUND((G63*F63),2)</f>
        <v>0</v>
      </c>
      <c r="K63" s="43" t="n">
        <f aca="false">ROUND((H63*F63),2)</f>
        <v>0</v>
      </c>
      <c r="L63" s="43" t="n">
        <f aca="false">ROUND((K63+J63),2)</f>
        <v>0</v>
      </c>
      <c r="M63" s="43" t="n">
        <f aca="false">ROUND((IF(P63="BDI 1",((1+($S$3/100))*G63),((1+($S$4/100))*G63))),2)</f>
        <v>0</v>
      </c>
      <c r="N63" s="43" t="n">
        <f aca="false">ROUND((IF(P63="BDI 1",((1+($S$3/100))*H63),((1+($S$4/100))*H63))),2)</f>
        <v>0</v>
      </c>
      <c r="O63" s="43" t="n">
        <f aca="false">ROUND((M63+N63),2)</f>
        <v>0</v>
      </c>
      <c r="P63" s="44" t="s">
        <v>25</v>
      </c>
      <c r="Q63" s="43" t="n">
        <f aca="false">ROUND(M63*F63,2)</f>
        <v>0</v>
      </c>
      <c r="R63" s="43" t="n">
        <f aca="false">ROUND(N63*F63,2)</f>
        <v>0</v>
      </c>
      <c r="S63" s="45" t="n">
        <f aca="false">ROUND(Q63+R63,2)</f>
        <v>0</v>
      </c>
    </row>
    <row r="64" customFormat="false" ht="22.35" hidden="false" customHeight="false" outlineLevel="0" collapsed="false">
      <c r="A64" s="37" t="s">
        <v>75</v>
      </c>
      <c r="B64" s="38" t="s">
        <v>6</v>
      </c>
      <c r="C64" s="39" t="n">
        <v>104737</v>
      </c>
      <c r="D64" s="40" t="str">
        <f aca="false">IF(B64="SINAPI",(VLOOKUP(C64,Plan1!$B:$G,2,0)),(IF(B64="COMPOSIÇÃO",((VLOOKUP(C64,Plan1!$B:$L,3,0))),(VLOOKUP(C64,Plan1!$B:$L,2,0)))))</f>
        <v>REATERRO MANUAL DE VALAS, COM PLACA VIBRATÓRIA. AF_08/2023</v>
      </c>
      <c r="E64" s="41" t="str">
        <f aca="false">IF(B64="SINAPI",(VLOOKUP(C64,Plan1!$B:$G,3,0)),(IF(B64="COMPOSIÇÃO",((VLOOKUP(C64,Plan1!$B:$L,4,0))),(VLOOKUP(C64,Plan1!$B:$L,5,0)))))</f>
        <v>M3</v>
      </c>
      <c r="F64" s="42" t="n">
        <v>20</v>
      </c>
      <c r="G64" s="43"/>
      <c r="H64" s="43"/>
      <c r="I64" s="43" t="n">
        <f aca="false">ROUND((H64+G64),2)</f>
        <v>0</v>
      </c>
      <c r="J64" s="43" t="n">
        <f aca="false">ROUND((G64*F64),2)</f>
        <v>0</v>
      </c>
      <c r="K64" s="43" t="n">
        <f aca="false">ROUND((H64*F64),2)</f>
        <v>0</v>
      </c>
      <c r="L64" s="43" t="n">
        <f aca="false">ROUND((K64+J64),2)</f>
        <v>0</v>
      </c>
      <c r="M64" s="43" t="n">
        <f aca="false">ROUND((IF(P64="BDI 1",((1+($S$3/100))*G64),((1+($S$4/100))*G64))),2)</f>
        <v>0</v>
      </c>
      <c r="N64" s="43" t="n">
        <f aca="false">ROUND((IF(P64="BDI 1",((1+($S$3/100))*H64),((1+($S$4/100))*H64))),2)</f>
        <v>0</v>
      </c>
      <c r="O64" s="43" t="n">
        <f aca="false">ROUND((M64+N64),2)</f>
        <v>0</v>
      </c>
      <c r="P64" s="44" t="s">
        <v>25</v>
      </c>
      <c r="Q64" s="43" t="n">
        <f aca="false">ROUND(M64*F64,2)</f>
        <v>0</v>
      </c>
      <c r="R64" s="43" t="n">
        <f aca="false">ROUND(N64*F64,2)</f>
        <v>0</v>
      </c>
      <c r="S64" s="45" t="n">
        <f aca="false">ROUND(Q64+R64,2)</f>
        <v>0</v>
      </c>
    </row>
    <row r="65" customFormat="false" ht="32.8" hidden="false" customHeight="false" outlineLevel="0" collapsed="false">
      <c r="A65" s="37" t="s">
        <v>76</v>
      </c>
      <c r="B65" s="38" t="s">
        <v>6</v>
      </c>
      <c r="C65" s="39" t="n">
        <v>101963</v>
      </c>
      <c r="D65" s="40" t="str">
        <f aca="false">IF(B65="SINAPI",(VLOOKUP(C65,Plan1!$B:$G,2,0)),(IF(B65="COMPOSIÇÃO",((VLOOKUP(C65,Plan1!$B:$L,3,0))),(VLOOKUP(C65,Plan1!$B:$L,2,0)))))</f>
        <v>LAJE PRÉ-MOLDADA UNIDIRECIONAL, BIAPOIADA, PARA PISO, ENCHIMENTO EM CERÂMICA, VIGOTA CONVENCIONAL, ALTURA TOTAL DA LAJE (ENCHIMENTO+CAPA) = (8+4). AF_11/2020_PA</v>
      </c>
      <c r="E65" s="41" t="str">
        <f aca="false">IF(B65="SINAPI",(VLOOKUP(C65,Plan1!$B:$G,3,0)),(IF(B65="COMPOSIÇÃO",((VLOOKUP(C65,Plan1!$B:$L,4,0))),(VLOOKUP(C65,Plan1!$B:$L,5,0)))))</f>
        <v>M2</v>
      </c>
      <c r="F65" s="42" t="n">
        <v>5</v>
      </c>
      <c r="G65" s="43"/>
      <c r="H65" s="43"/>
      <c r="I65" s="43" t="n">
        <f aca="false">ROUND((H65+G65),2)</f>
        <v>0</v>
      </c>
      <c r="J65" s="43" t="n">
        <f aca="false">ROUND((G65*F65),2)</f>
        <v>0</v>
      </c>
      <c r="K65" s="43" t="n">
        <f aca="false">ROUND((H65*F65),2)</f>
        <v>0</v>
      </c>
      <c r="L65" s="43" t="n">
        <f aca="false">ROUND((K65+J65),2)</f>
        <v>0</v>
      </c>
      <c r="M65" s="43" t="n">
        <f aca="false">ROUND((IF(P65="BDI 1",((1+($S$3/100))*G65),((1+($S$4/100))*G65))),2)</f>
        <v>0</v>
      </c>
      <c r="N65" s="43" t="n">
        <f aca="false">ROUND((IF(P65="BDI 1",((1+($S$3/100))*H65),((1+($S$4/100))*H65))),2)</f>
        <v>0</v>
      </c>
      <c r="O65" s="43" t="n">
        <f aca="false">ROUND((M65+N65),2)</f>
        <v>0</v>
      </c>
      <c r="P65" s="44" t="s">
        <v>25</v>
      </c>
      <c r="Q65" s="43" t="n">
        <f aca="false">ROUND(M65*F65,2)</f>
        <v>0</v>
      </c>
      <c r="R65" s="43" t="n">
        <f aca="false">ROUND(N65*F65,2)</f>
        <v>0</v>
      </c>
      <c r="S65" s="45" t="n">
        <f aca="false">ROUND(Q65+R65,2)</f>
        <v>0</v>
      </c>
    </row>
    <row r="66" customFormat="false" ht="22.35" hidden="false" customHeight="false" outlineLevel="0" collapsed="false">
      <c r="A66" s="37" t="s">
        <v>77</v>
      </c>
      <c r="B66" s="38" t="s">
        <v>6</v>
      </c>
      <c r="C66" s="39" t="n">
        <v>96622</v>
      </c>
      <c r="D66" s="40" t="str">
        <f aca="false">IF(B66="SINAPI",(VLOOKUP(C66,Plan1!$B:$G,2,0)),(IF(B66="COMPOSIÇÃO",((VLOOKUP(C66,Plan1!$B:$L,3,0))),(VLOOKUP(C66,Plan1!$B:$L,2,0)))))</f>
        <v>LASTRO COM MATERIAL GRANULAR, APLICADO EM PISOS OU LAJES SOBRE SOLO, ESPESSURA DE *5 CM*. AF_01/2024</v>
      </c>
      <c r="E66" s="41" t="str">
        <f aca="false">IF(B66="SINAPI",(VLOOKUP(C66,Plan1!$B:$G,3,0)),(IF(B66="COMPOSIÇÃO",((VLOOKUP(C66,Plan1!$B:$L,4,0))),(VLOOKUP(C66,Plan1!$B:$L,5,0)))))</f>
        <v>M3</v>
      </c>
      <c r="F66" s="42" t="n">
        <v>1.72</v>
      </c>
      <c r="G66" s="43"/>
      <c r="H66" s="43"/>
      <c r="I66" s="43" t="n">
        <f aca="false">ROUND((H66+G66),2)</f>
        <v>0</v>
      </c>
      <c r="J66" s="43" t="n">
        <f aca="false">ROUND((G66*F66),2)</f>
        <v>0</v>
      </c>
      <c r="K66" s="43" t="n">
        <f aca="false">ROUND((H66*F66),2)</f>
        <v>0</v>
      </c>
      <c r="L66" s="43" t="n">
        <f aca="false">ROUND((K66+J66),2)</f>
        <v>0</v>
      </c>
      <c r="M66" s="43" t="n">
        <f aca="false">ROUND((IF(P66="BDI 1",((1+($S$3/100))*G66),((1+($S$4/100))*G66))),2)</f>
        <v>0</v>
      </c>
      <c r="N66" s="43" t="n">
        <f aca="false">ROUND((IF(P66="BDI 1",((1+($S$3/100))*H66),((1+($S$4/100))*H66))),2)</f>
        <v>0</v>
      </c>
      <c r="O66" s="43" t="n">
        <f aca="false">ROUND((M66+N66),2)</f>
        <v>0</v>
      </c>
      <c r="P66" s="44" t="s">
        <v>25</v>
      </c>
      <c r="Q66" s="43" t="n">
        <f aca="false">ROUND(M66*F66,2)</f>
        <v>0</v>
      </c>
      <c r="R66" s="43" t="n">
        <f aca="false">ROUND(N66*F66,2)</f>
        <v>0</v>
      </c>
      <c r="S66" s="45" t="n">
        <f aca="false">ROUND(Q66+R66,2)</f>
        <v>0</v>
      </c>
    </row>
    <row r="67" customFormat="false" ht="43.25" hidden="false" customHeight="false" outlineLevel="0" collapsed="false">
      <c r="A67" s="37" t="s">
        <v>78</v>
      </c>
      <c r="B67" s="38" t="s">
        <v>6</v>
      </c>
      <c r="C67" s="39" t="n">
        <v>87745</v>
      </c>
      <c r="D67" s="40" t="str">
        <f aca="false">IF(B67="SINAPI",(VLOOKUP(C67,Plan1!$B:$G,2,0)),(IF(B67="COMPOSIÇÃO",((VLOOKUP(C67,Plan1!$B:$L,3,0))),(VLOOKUP(C67,Plan1!$B:$L,2,0)))))</f>
        <v>CONTRAPISO EM ARGAMASSA TRAÇO 1:4 (CIMENTO E AREIA), PREPARO MECÂNICO COM BETONEIRA 400 L, APLICADO EM ÁREAS MOLHADAS SOBRE LAJE, ADERIDO, ACABAMENTO NÃO REFORÇADO, ESPESSURA 3CM. AF_07/2021</v>
      </c>
      <c r="E67" s="41" t="str">
        <f aca="false">IF(B67="SINAPI",(VLOOKUP(C67,Plan1!$B:$G,3,0)),(IF(B67="COMPOSIÇÃO",((VLOOKUP(C67,Plan1!$B:$L,4,0))),(VLOOKUP(C67,Plan1!$B:$L,5,0)))))</f>
        <v>M2</v>
      </c>
      <c r="F67" s="42" t="n">
        <v>22.6</v>
      </c>
      <c r="G67" s="43"/>
      <c r="H67" s="43"/>
      <c r="I67" s="43" t="n">
        <f aca="false">ROUND((H67+G67),2)</f>
        <v>0</v>
      </c>
      <c r="J67" s="43" t="n">
        <f aca="false">ROUND((G67*F67),2)</f>
        <v>0</v>
      </c>
      <c r="K67" s="43" t="n">
        <f aca="false">ROUND((H67*F67),2)</f>
        <v>0</v>
      </c>
      <c r="L67" s="43" t="n">
        <f aca="false">ROUND((K67+J67),2)</f>
        <v>0</v>
      </c>
      <c r="M67" s="43" t="n">
        <f aca="false">ROUND((IF(P67="BDI 1",((1+($S$3/100))*G67),((1+($S$4/100))*G67))),2)</f>
        <v>0</v>
      </c>
      <c r="N67" s="43" t="n">
        <f aca="false">ROUND((IF(P67="BDI 1",((1+($S$3/100))*H67),((1+($S$4/100))*H67))),2)</f>
        <v>0</v>
      </c>
      <c r="O67" s="43" t="n">
        <f aca="false">ROUND((M67+N67),2)</f>
        <v>0</v>
      </c>
      <c r="P67" s="44" t="s">
        <v>25</v>
      </c>
      <c r="Q67" s="43" t="n">
        <f aca="false">ROUND(M67*F67,2)</f>
        <v>0</v>
      </c>
      <c r="R67" s="43" t="n">
        <f aca="false">ROUND(N67*F67,2)</f>
        <v>0</v>
      </c>
      <c r="S67" s="45" t="n">
        <f aca="false">ROUND(Q67+R67,2)</f>
        <v>0</v>
      </c>
    </row>
    <row r="68" customFormat="false" ht="15" hidden="false" customHeight="false" outlineLevel="0" collapsed="false">
      <c r="A68" s="55"/>
      <c r="B68" s="55"/>
      <c r="C68" s="56"/>
      <c r="D68" s="57"/>
      <c r="E68" s="56"/>
      <c r="F68" s="58"/>
      <c r="G68" s="58"/>
      <c r="H68" s="58"/>
      <c r="I68" s="59"/>
      <c r="J68" s="59"/>
      <c r="K68" s="59"/>
      <c r="L68" s="59"/>
      <c r="M68" s="52"/>
      <c r="N68" s="52"/>
      <c r="O68" s="52"/>
      <c r="P68" s="52"/>
      <c r="Q68" s="52"/>
      <c r="R68" s="52"/>
      <c r="S68" s="53"/>
    </row>
    <row r="69" customFormat="false" ht="15" hidden="false" customHeight="false" outlineLevel="0" collapsed="false">
      <c r="A69" s="31" t="n">
        <v>6</v>
      </c>
      <c r="B69" s="32"/>
      <c r="C69" s="33"/>
      <c r="D69" s="34" t="s">
        <v>79</v>
      </c>
      <c r="E69" s="34"/>
      <c r="F69" s="35"/>
      <c r="G69" s="36"/>
      <c r="H69" s="36"/>
      <c r="I69" s="36"/>
      <c r="J69" s="36" t="n">
        <f aca="false">ROUND(SUM(J70:J89),2)</f>
        <v>0</v>
      </c>
      <c r="K69" s="36" t="n">
        <f aca="false">ROUND(SUM(K70:K89),2)</f>
        <v>0</v>
      </c>
      <c r="L69" s="36" t="n">
        <f aca="false">ROUND(SUM(L70:L89),2)</f>
        <v>0</v>
      </c>
      <c r="M69" s="36"/>
      <c r="N69" s="36"/>
      <c r="O69" s="36"/>
      <c r="P69" s="36"/>
      <c r="Q69" s="36" t="n">
        <f aca="false">ROUND((SUM(Q70:Q89)),2)</f>
        <v>0</v>
      </c>
      <c r="R69" s="36" t="n">
        <f aca="false">ROUND((SUM(R70:R89)),2)</f>
        <v>0</v>
      </c>
      <c r="S69" s="36" t="n">
        <f aca="false">ROUND((SUM(S70:S89)),2)</f>
        <v>0</v>
      </c>
    </row>
    <row r="70" customFormat="false" ht="22.35" hidden="false" customHeight="false" outlineLevel="0" collapsed="false">
      <c r="A70" s="37" t="s">
        <v>80</v>
      </c>
      <c r="B70" s="38" t="s">
        <v>6</v>
      </c>
      <c r="C70" s="39" t="n">
        <v>97665</v>
      </c>
      <c r="D70" s="40" t="str">
        <f aca="false">IF(B70="SINAPI",(VLOOKUP(C70,Plan1!$B:$G,2,0)),(IF(B70="COMPOSIÇÃO",((VLOOKUP(C70,Plan1!$B:$L,3,0))),(VLOOKUP(C70,Plan1!$B:$L,2,0)))))</f>
        <v>REMOÇÃO DE LUMINÁRIAS, DE FORMA MANUAL, SEM REAPROVEITAMENTO. AF_09/2023</v>
      </c>
      <c r="E70" s="41" t="str">
        <f aca="false">IF(B70="SINAPI",(VLOOKUP(C70,Plan1!$B:$G,3,0)),(IF(B70="COMPOSIÇÃO",((VLOOKUP(C70,Plan1!$B:$L,4,0))),(VLOOKUP(C70,Plan1!$B:$L,5,0)))))</f>
        <v>UN</v>
      </c>
      <c r="F70" s="42" t="n">
        <v>18</v>
      </c>
      <c r="G70" s="43"/>
      <c r="H70" s="43"/>
      <c r="I70" s="43" t="n">
        <f aca="false">ROUND((H70+G70),2)</f>
        <v>0</v>
      </c>
      <c r="J70" s="43" t="n">
        <f aca="false">ROUND((G70*F70),2)</f>
        <v>0</v>
      </c>
      <c r="K70" s="43" t="n">
        <f aca="false">ROUND((H70*F70),2)</f>
        <v>0</v>
      </c>
      <c r="L70" s="43" t="n">
        <f aca="false">ROUND((K70+J70),2)</f>
        <v>0</v>
      </c>
      <c r="M70" s="43" t="n">
        <f aca="false">ROUND((IF(P70="BDI 1",((1+($S$3/100))*G70),((1+($S$4/100))*G70))),2)</f>
        <v>0</v>
      </c>
      <c r="N70" s="43" t="n">
        <f aca="false">ROUND((IF(P70="BDI 1",((1+($S$3/100))*H70),((1+($S$4/100))*H70))),2)</f>
        <v>0</v>
      </c>
      <c r="O70" s="43" t="n">
        <f aca="false">ROUND((M70+N70),2)</f>
        <v>0</v>
      </c>
      <c r="P70" s="44" t="s">
        <v>25</v>
      </c>
      <c r="Q70" s="43" t="n">
        <f aca="false">ROUND(M70*F70,2)</f>
        <v>0</v>
      </c>
      <c r="R70" s="43" t="n">
        <f aca="false">ROUND(N70*F70,2)</f>
        <v>0</v>
      </c>
      <c r="S70" s="45" t="n">
        <f aca="false">ROUND(Q70+R70,2)</f>
        <v>0</v>
      </c>
    </row>
    <row r="71" customFormat="false" ht="22.35" hidden="false" customHeight="false" outlineLevel="0" collapsed="false">
      <c r="A71" s="37" t="s">
        <v>81</v>
      </c>
      <c r="B71" s="38" t="s">
        <v>6</v>
      </c>
      <c r="C71" s="39" t="n">
        <v>103782</v>
      </c>
      <c r="D71" s="40" t="str">
        <f aca="false">IF(B71="SINAPI",(VLOOKUP(C71,Plan1!$B:$G,2,0)),(IF(B71="COMPOSIÇÃO",((VLOOKUP(C71,Plan1!$B:$L,3,0))),(VLOOKUP(C71,Plan1!$B:$L,2,0)))))</f>
        <v>LUMINÁRIA TIPO PLAFON CIRCULAR, DE SOBREPOR, COM LED DE 12/13 W - FORNECIMENTO E INSTALAÇÃO. AF_03/2022</v>
      </c>
      <c r="E71" s="41" t="str">
        <f aca="false">IF(B71="SINAPI",(VLOOKUP(C71,Plan1!$B:$G,3,0)),(IF(B71="COMPOSIÇÃO",((VLOOKUP(C71,Plan1!$B:$L,4,0))),(VLOOKUP(C71,Plan1!$B:$L,5,0)))))</f>
        <v>UN</v>
      </c>
      <c r="F71" s="42" t="n">
        <v>21</v>
      </c>
      <c r="G71" s="43"/>
      <c r="H71" s="43"/>
      <c r="I71" s="43" t="n">
        <f aca="false">ROUND((H71+G71),2)</f>
        <v>0</v>
      </c>
      <c r="J71" s="43" t="n">
        <f aca="false">ROUND((G71*F71),2)</f>
        <v>0</v>
      </c>
      <c r="K71" s="43" t="n">
        <f aca="false">ROUND((H71*F71),2)</f>
        <v>0</v>
      </c>
      <c r="L71" s="43" t="n">
        <f aca="false">ROUND((K71+J71),2)</f>
        <v>0</v>
      </c>
      <c r="M71" s="43" t="n">
        <f aca="false">ROUND((IF(P71="BDI 1",((1+($S$3/100))*G71),((1+($S$4/100))*G71))),2)</f>
        <v>0</v>
      </c>
      <c r="N71" s="43" t="n">
        <f aca="false">ROUND((IF(P71="BDI 1",((1+($S$3/100))*H71),((1+($S$4/100))*H71))),2)</f>
        <v>0</v>
      </c>
      <c r="O71" s="43" t="n">
        <f aca="false">ROUND((M71+N71),2)</f>
        <v>0</v>
      </c>
      <c r="P71" s="44" t="s">
        <v>25</v>
      </c>
      <c r="Q71" s="43" t="n">
        <f aca="false">ROUND(M71*F71,2)</f>
        <v>0</v>
      </c>
      <c r="R71" s="43" t="n">
        <f aca="false">ROUND(N71*F71,2)</f>
        <v>0</v>
      </c>
      <c r="S71" s="45" t="n">
        <f aca="false">ROUND(Q71+R71,2)</f>
        <v>0</v>
      </c>
    </row>
    <row r="72" customFormat="false" ht="32.8" hidden="false" customHeight="false" outlineLevel="0" collapsed="false">
      <c r="A72" s="37" t="s">
        <v>82</v>
      </c>
      <c r="B72" s="38" t="s">
        <v>6</v>
      </c>
      <c r="C72" s="54" t="n">
        <v>91953</v>
      </c>
      <c r="D72" s="40" t="str">
        <f aca="false">IF(B72="SINAPI",(VLOOKUP(C72,Plan1!$B:$G,2,0)),(IF(B72="COMPOSIÇÃO",((VLOOKUP(C72,Plan1!$B:$L,3,0))),(VLOOKUP(C72,Plan1!$B:$L,2,0)))))</f>
        <v>INTERRUPTOR SIMPLES (1 MÓDULO), 10A/250V, INCLUINDO SUPORTE E PLACA - FORNECIMENTO E INSTALAÇÃO. AF_03/2023</v>
      </c>
      <c r="E72" s="41" t="str">
        <f aca="false">IF(B72="SINAPI",(VLOOKUP(C72,Plan1!$B:$G,3,0)),(IF(B72="COMPOSIÇÃO",((VLOOKUP(C72,Plan1!$B:$L,4,0))),(VLOOKUP(C72,Plan1!$B:$L,5,0)))))</f>
        <v>UN</v>
      </c>
      <c r="F72" s="42" t="n">
        <v>11</v>
      </c>
      <c r="G72" s="43"/>
      <c r="H72" s="43"/>
      <c r="I72" s="43" t="n">
        <f aca="false">ROUND((H72+G72),2)</f>
        <v>0</v>
      </c>
      <c r="J72" s="43" t="n">
        <f aca="false">ROUND((G72*F72),2)</f>
        <v>0</v>
      </c>
      <c r="K72" s="43" t="n">
        <f aca="false">ROUND((H72*F72),2)</f>
        <v>0</v>
      </c>
      <c r="L72" s="43" t="n">
        <f aca="false">ROUND((K72+J72),2)</f>
        <v>0</v>
      </c>
      <c r="M72" s="43" t="n">
        <f aca="false">ROUND((IF(P72="BDI 1",((1+($S$3/100))*G72),((1+($S$4/100))*G72))),2)</f>
        <v>0</v>
      </c>
      <c r="N72" s="43" t="n">
        <f aca="false">ROUND((IF(P72="BDI 1",((1+($S$3/100))*H72),((1+($S$4/100))*H72))),2)</f>
        <v>0</v>
      </c>
      <c r="O72" s="43" t="n">
        <f aca="false">ROUND((M72+N72),2)</f>
        <v>0</v>
      </c>
      <c r="P72" s="44" t="s">
        <v>25</v>
      </c>
      <c r="Q72" s="43" t="n">
        <f aca="false">ROUND(M72*F72,2)</f>
        <v>0</v>
      </c>
      <c r="R72" s="43" t="n">
        <f aca="false">ROUND(N72*F72,2)</f>
        <v>0</v>
      </c>
      <c r="S72" s="45" t="n">
        <f aca="false">ROUND(Q72+R72,2)</f>
        <v>0</v>
      </c>
    </row>
    <row r="73" customFormat="false" ht="32.8" hidden="false" customHeight="false" outlineLevel="0" collapsed="false">
      <c r="A73" s="37" t="s">
        <v>83</v>
      </c>
      <c r="B73" s="38" t="s">
        <v>6</v>
      </c>
      <c r="C73" s="39" t="n">
        <v>92000</v>
      </c>
      <c r="D73" s="40" t="str">
        <f aca="false">IF(B73="SINAPI",(VLOOKUP(C73,Plan1!$B:$G,2,0)),(IF(B73="COMPOSIÇÃO",((VLOOKUP(C73,Plan1!$B:$L,3,0))),(VLOOKUP(C73,Plan1!$B:$L,2,0)))))</f>
        <v>TOMADA BAIXA DE EMBUTIR (1 MÓDULO), 2P+T 10 A, INCLUINDO SUPORTE E PLACA - FORNECIMENTO E INSTALAÇÃO. AF_03/2023</v>
      </c>
      <c r="E73" s="41" t="str">
        <f aca="false">IF(B73="SINAPI",(VLOOKUP(C73,Plan1!$B:$G,3,0)),(IF(B73="COMPOSIÇÃO",((VLOOKUP(C73,Plan1!$B:$L,4,0))),(VLOOKUP(C73,Plan1!$B:$L,5,0)))))</f>
        <v>UN</v>
      </c>
      <c r="F73" s="42" t="n">
        <v>6</v>
      </c>
      <c r="G73" s="43"/>
      <c r="H73" s="43"/>
      <c r="I73" s="43" t="n">
        <f aca="false">ROUND((H73+G73),2)</f>
        <v>0</v>
      </c>
      <c r="J73" s="43" t="n">
        <f aca="false">ROUND((G73*F73),2)</f>
        <v>0</v>
      </c>
      <c r="K73" s="43" t="n">
        <f aca="false">ROUND((H73*F73),2)</f>
        <v>0</v>
      </c>
      <c r="L73" s="43" t="n">
        <f aca="false">ROUND((K73+J73),2)</f>
        <v>0</v>
      </c>
      <c r="M73" s="43" t="n">
        <f aca="false">ROUND((IF(P73="BDI 1",((1+($S$3/100))*G73),((1+($S$4/100))*G73))),2)</f>
        <v>0</v>
      </c>
      <c r="N73" s="43" t="n">
        <f aca="false">ROUND((IF(P73="BDI 1",((1+($S$3/100))*H73),((1+($S$4/100))*H73))),2)</f>
        <v>0</v>
      </c>
      <c r="O73" s="43" t="n">
        <f aca="false">ROUND((M73+N73),2)</f>
        <v>0</v>
      </c>
      <c r="P73" s="44" t="s">
        <v>25</v>
      </c>
      <c r="Q73" s="43" t="n">
        <f aca="false">ROUND(M73*F73,2)</f>
        <v>0</v>
      </c>
      <c r="R73" s="43" t="n">
        <f aca="false">ROUND(N73*F73,2)</f>
        <v>0</v>
      </c>
      <c r="S73" s="45" t="n">
        <f aca="false">ROUND(Q73+R73,2)</f>
        <v>0</v>
      </c>
    </row>
    <row r="74" customFormat="false" ht="32.8" hidden="false" customHeight="false" outlineLevel="0" collapsed="false">
      <c r="A74" s="37" t="s">
        <v>84</v>
      </c>
      <c r="B74" s="38" t="s">
        <v>6</v>
      </c>
      <c r="C74" s="39" t="n">
        <v>91996</v>
      </c>
      <c r="D74" s="40" t="str">
        <f aca="false">IF(B74="SINAPI",(VLOOKUP(C74,Plan1!$B:$G,2,0)),(IF(B74="COMPOSIÇÃO",((VLOOKUP(C74,Plan1!$B:$L,3,0))),(VLOOKUP(C74,Plan1!$B:$L,2,0)))))</f>
        <v>TOMADA MÉDIA DE EMBUTIR (1 MÓDULO), 2P+T 10 A, INCLUINDO SUPORTE E PLACA - FORNECIMENTO E INSTALAÇÃO. AF_03/2023</v>
      </c>
      <c r="E74" s="41" t="str">
        <f aca="false">IF(B74="SINAPI",(VLOOKUP(C74,Plan1!$B:$G,3,0)),(IF(B74="COMPOSIÇÃO",((VLOOKUP(C74,Plan1!$B:$L,4,0))),(VLOOKUP(C74,Plan1!$B:$L,5,0)))))</f>
        <v>UN</v>
      </c>
      <c r="F74" s="42" t="n">
        <v>14</v>
      </c>
      <c r="G74" s="43"/>
      <c r="H74" s="43"/>
      <c r="I74" s="43" t="n">
        <f aca="false">ROUND((H74+G74),2)</f>
        <v>0</v>
      </c>
      <c r="J74" s="43" t="n">
        <f aca="false">ROUND((G74*F74),2)</f>
        <v>0</v>
      </c>
      <c r="K74" s="43" t="n">
        <f aca="false">ROUND((H74*F74),2)</f>
        <v>0</v>
      </c>
      <c r="L74" s="43" t="n">
        <f aca="false">ROUND((K74+J74),2)</f>
        <v>0</v>
      </c>
      <c r="M74" s="43" t="n">
        <f aca="false">ROUND((IF(P74="BDI 1",((1+($S$3/100))*G74),((1+($S$4/100))*G74))),2)</f>
        <v>0</v>
      </c>
      <c r="N74" s="43" t="n">
        <f aca="false">ROUND((IF(P74="BDI 1",((1+($S$3/100))*H74),((1+($S$4/100))*H74))),2)</f>
        <v>0</v>
      </c>
      <c r="O74" s="43" t="n">
        <f aca="false">ROUND((M74+N74),2)</f>
        <v>0</v>
      </c>
      <c r="P74" s="44" t="s">
        <v>25</v>
      </c>
      <c r="Q74" s="43" t="n">
        <f aca="false">ROUND(M74*F74,2)</f>
        <v>0</v>
      </c>
      <c r="R74" s="43" t="n">
        <f aca="false">ROUND(N74*F74,2)</f>
        <v>0</v>
      </c>
      <c r="S74" s="45" t="n">
        <f aca="false">ROUND(Q74+R74,2)</f>
        <v>0</v>
      </c>
    </row>
    <row r="75" customFormat="false" ht="32.8" hidden="false" customHeight="false" outlineLevel="0" collapsed="false">
      <c r="A75" s="37" t="s">
        <v>85</v>
      </c>
      <c r="B75" s="38" t="s">
        <v>6</v>
      </c>
      <c r="C75" s="39" t="n">
        <v>91997</v>
      </c>
      <c r="D75" s="40" t="str">
        <f aca="false">IF(B75="SINAPI",(VLOOKUP(C75,Plan1!$B:$G,2,0)),(IF(B75="COMPOSIÇÃO",((VLOOKUP(C75,Plan1!$B:$L,3,0))),(VLOOKUP(C75,Plan1!$B:$L,2,0)))))</f>
        <v>TOMADA MÉDIA DE EMBUTIR (1 MÓDULO), 2P+T 20 A, INCLUINDO SUPORTE E PLACA - FORNECIMENTO E INSTALAÇÃO. AF_03/2023</v>
      </c>
      <c r="E75" s="41" t="str">
        <f aca="false">IF(B75="SINAPI",(VLOOKUP(C75,Plan1!$B:$G,3,0)),(IF(B75="COMPOSIÇÃO",((VLOOKUP(C75,Plan1!$B:$L,4,0))),(VLOOKUP(C75,Plan1!$B:$L,5,0)))))</f>
        <v>UN</v>
      </c>
      <c r="F75" s="42" t="n">
        <v>4</v>
      </c>
      <c r="G75" s="43"/>
      <c r="H75" s="43"/>
      <c r="I75" s="43" t="n">
        <f aca="false">ROUND((H75+G75),2)</f>
        <v>0</v>
      </c>
      <c r="J75" s="43" t="n">
        <f aca="false">ROUND((G75*F75),2)</f>
        <v>0</v>
      </c>
      <c r="K75" s="43" t="n">
        <f aca="false">ROUND((H75*F75),2)</f>
        <v>0</v>
      </c>
      <c r="L75" s="43" t="n">
        <f aca="false">ROUND((K75+J75),2)</f>
        <v>0</v>
      </c>
      <c r="M75" s="43" t="n">
        <f aca="false">ROUND((IF(P75="BDI 1",((1+($S$3/100))*G75),((1+($S$4/100))*G75))),2)</f>
        <v>0</v>
      </c>
      <c r="N75" s="43" t="n">
        <f aca="false">ROUND((IF(P75="BDI 1",((1+($S$3/100))*H75),((1+($S$4/100))*H75))),2)</f>
        <v>0</v>
      </c>
      <c r="O75" s="43" t="n">
        <f aca="false">ROUND((M75+N75),2)</f>
        <v>0</v>
      </c>
      <c r="P75" s="44" t="s">
        <v>25</v>
      </c>
      <c r="Q75" s="43" t="n">
        <f aca="false">ROUND(M75*F75,2)</f>
        <v>0</v>
      </c>
      <c r="R75" s="43" t="n">
        <f aca="false">ROUND(N75*F75,2)</f>
        <v>0</v>
      </c>
      <c r="S75" s="45" t="n">
        <f aca="false">ROUND(Q75+R75,2)</f>
        <v>0</v>
      </c>
    </row>
    <row r="76" customFormat="false" ht="32.8" hidden="false" customHeight="false" outlineLevel="0" collapsed="false">
      <c r="A76" s="37" t="s">
        <v>86</v>
      </c>
      <c r="B76" s="38" t="s">
        <v>6</v>
      </c>
      <c r="C76" s="39" t="n">
        <v>91992</v>
      </c>
      <c r="D76" s="40" t="str">
        <f aca="false">IF(B76="SINAPI",(VLOOKUP(C76,Plan1!$B:$G,2,0)),(IF(B76="COMPOSIÇÃO",((VLOOKUP(C76,Plan1!$B:$L,3,0))),(VLOOKUP(C76,Plan1!$B:$L,2,0)))))</f>
        <v>TOMADA ALTA DE EMBUTIR (1 MÓDULO), 2P+T 10 A, INCLUINDO SUPORTE E PLACA - FORNECIMENTO E INSTALAÇÃO. AF_03/2023</v>
      </c>
      <c r="E76" s="41" t="str">
        <f aca="false">IF(B76="SINAPI",(VLOOKUP(C76,Plan1!$B:$G,3,0)),(IF(B76="COMPOSIÇÃO",((VLOOKUP(C76,Plan1!$B:$L,4,0))),(VLOOKUP(C76,Plan1!$B:$L,5,0)))))</f>
        <v>UN</v>
      </c>
      <c r="F76" s="42" t="n">
        <v>4</v>
      </c>
      <c r="G76" s="43"/>
      <c r="H76" s="43"/>
      <c r="I76" s="43" t="n">
        <f aca="false">ROUND((H76+G76),2)</f>
        <v>0</v>
      </c>
      <c r="J76" s="43" t="n">
        <f aca="false">ROUND((G76*F76),2)</f>
        <v>0</v>
      </c>
      <c r="K76" s="43" t="n">
        <f aca="false">ROUND((H76*F76),2)</f>
        <v>0</v>
      </c>
      <c r="L76" s="43" t="n">
        <f aca="false">ROUND((K76+J76),2)</f>
        <v>0</v>
      </c>
      <c r="M76" s="43" t="n">
        <f aca="false">ROUND((IF(P76="BDI 1",((1+($S$3/100))*G76),((1+($S$4/100))*G76))),2)</f>
        <v>0</v>
      </c>
      <c r="N76" s="43" t="n">
        <f aca="false">ROUND((IF(P76="BDI 1",((1+($S$3/100))*H76),((1+($S$4/100))*H76))),2)</f>
        <v>0</v>
      </c>
      <c r="O76" s="43" t="n">
        <f aca="false">ROUND((M76+N76),2)</f>
        <v>0</v>
      </c>
      <c r="P76" s="44" t="s">
        <v>25</v>
      </c>
      <c r="Q76" s="43" t="n">
        <f aca="false">ROUND(M76*F76,2)</f>
        <v>0</v>
      </c>
      <c r="R76" s="43" t="n">
        <f aca="false">ROUND(N76*F76,2)</f>
        <v>0</v>
      </c>
      <c r="S76" s="45" t="n">
        <f aca="false">ROUND(Q76+R76,2)</f>
        <v>0</v>
      </c>
    </row>
    <row r="77" customFormat="false" ht="32.8" hidden="false" customHeight="false" outlineLevel="0" collapsed="false">
      <c r="A77" s="37" t="s">
        <v>87</v>
      </c>
      <c r="B77" s="38" t="s">
        <v>6</v>
      </c>
      <c r="C77" s="54" t="n">
        <v>91831</v>
      </c>
      <c r="D77" s="40" t="str">
        <f aca="false">IF(B77="SINAPI",(VLOOKUP(C77,Plan1!$B:$G,2,0)),(IF(B77="COMPOSIÇÃO",((VLOOKUP(C77,Plan1!$B:$L,3,0))),(VLOOKUP(C77,Plan1!$B:$L,2,0)))))</f>
        <v>ELETRODUTO FLEXÍVEL CORRUGADO, PVC, DN 20 MM (1/2"), PARA CIRCUITOS TERMINAIS, INSTALADO EM FORRO - FORNECIMENTO E INSTALAÇÃO. AF_03/2023_PA</v>
      </c>
      <c r="E77" s="41" t="str">
        <f aca="false">IF(B77="SINAPI",(VLOOKUP(C77,Plan1!$B:$G,3,0)),(IF(B77="COMPOSIÇÃO",((VLOOKUP(C77,Plan1!$B:$L,4,0))),(VLOOKUP(C77,Plan1!$B:$L,5,0)))))</f>
        <v>M</v>
      </c>
      <c r="F77" s="42" t="n">
        <f aca="false">136.75*0.6</f>
        <v>82.05</v>
      </c>
      <c r="G77" s="43"/>
      <c r="H77" s="43"/>
      <c r="I77" s="43" t="n">
        <f aca="false">ROUND((H77+G77),2)</f>
        <v>0</v>
      </c>
      <c r="J77" s="43" t="n">
        <f aca="false">ROUND((G77*F77),2)</f>
        <v>0</v>
      </c>
      <c r="K77" s="43" t="n">
        <f aca="false">ROUND((H77*F77),2)</f>
        <v>0</v>
      </c>
      <c r="L77" s="43" t="n">
        <f aca="false">ROUND((K77+J77),2)</f>
        <v>0</v>
      </c>
      <c r="M77" s="43" t="n">
        <f aca="false">ROUND((IF(P77="BDI 1",((1+($S$3/100))*G77),((1+($S$4/100))*G77))),2)</f>
        <v>0</v>
      </c>
      <c r="N77" s="43" t="n">
        <f aca="false">ROUND((IF(P77="BDI 1",((1+($S$3/100))*H77),((1+($S$4/100))*H77))),2)</f>
        <v>0</v>
      </c>
      <c r="O77" s="43" t="n">
        <f aca="false">ROUND((M77+N77),2)</f>
        <v>0</v>
      </c>
      <c r="P77" s="44" t="s">
        <v>25</v>
      </c>
      <c r="Q77" s="43" t="n">
        <f aca="false">ROUND(M77*F77,2)</f>
        <v>0</v>
      </c>
      <c r="R77" s="43" t="n">
        <f aca="false">ROUND(N77*F77,2)</f>
        <v>0</v>
      </c>
      <c r="S77" s="45" t="n">
        <f aca="false">ROUND(Q77+R77,2)</f>
        <v>0</v>
      </c>
    </row>
    <row r="78" customFormat="false" ht="32.8" hidden="false" customHeight="false" outlineLevel="0" collapsed="false">
      <c r="A78" s="37" t="s">
        <v>88</v>
      </c>
      <c r="B78" s="38" t="s">
        <v>6</v>
      </c>
      <c r="C78" s="39" t="n">
        <v>91836</v>
      </c>
      <c r="D78" s="40" t="str">
        <f aca="false">IF(B78="SINAPI",(VLOOKUP(C78,Plan1!$B:$G,2,0)),(IF(B78="COMPOSIÇÃO",((VLOOKUP(C78,Plan1!$B:$L,3,0))),(VLOOKUP(C78,Plan1!$B:$L,2,0)))))</f>
        <v>ELETRODUTO FLEXÍVEL CORRUGADO, PVC, DN 32 MM (1"), PARA CIRCUITOS TERMINAIS, INSTALADO EM FORRO - FORNECIMENTO E INSTALAÇÃO. AF_03/2023_PA</v>
      </c>
      <c r="E78" s="41" t="str">
        <f aca="false">IF(B78="SINAPI",(VLOOKUP(C78,Plan1!$B:$G,3,0)),(IF(B78="COMPOSIÇÃO",((VLOOKUP(C78,Plan1!$B:$L,4,0))),(VLOOKUP(C78,Plan1!$B:$L,5,0)))))</f>
        <v>M</v>
      </c>
      <c r="F78" s="42" t="n">
        <v>27.25</v>
      </c>
      <c r="G78" s="43"/>
      <c r="H78" s="43"/>
      <c r="I78" s="43" t="n">
        <f aca="false">ROUND((H78+G78),2)</f>
        <v>0</v>
      </c>
      <c r="J78" s="43" t="n">
        <f aca="false">ROUND((G78*F78),2)</f>
        <v>0</v>
      </c>
      <c r="K78" s="43" t="n">
        <f aca="false">ROUND((H78*F78),2)</f>
        <v>0</v>
      </c>
      <c r="L78" s="43" t="n">
        <f aca="false">ROUND((K78+J78),2)</f>
        <v>0</v>
      </c>
      <c r="M78" s="43" t="n">
        <f aca="false">ROUND((IF(P78="BDI 1",((1+($S$3/100))*G78),((1+($S$4/100))*G78))),2)</f>
        <v>0</v>
      </c>
      <c r="N78" s="43" t="n">
        <f aca="false">ROUND((IF(P78="BDI 1",((1+($S$3/100))*H78),((1+($S$4/100))*H78))),2)</f>
        <v>0</v>
      </c>
      <c r="O78" s="43" t="n">
        <f aca="false">ROUND((M78+N78),2)</f>
        <v>0</v>
      </c>
      <c r="P78" s="44" t="s">
        <v>25</v>
      </c>
      <c r="Q78" s="43" t="n">
        <f aca="false">ROUND(M78*F78,2)</f>
        <v>0</v>
      </c>
      <c r="R78" s="43" t="n">
        <f aca="false">ROUND(N78*F78,2)</f>
        <v>0</v>
      </c>
      <c r="S78" s="45" t="n">
        <f aca="false">ROUND(Q78+R78,2)</f>
        <v>0</v>
      </c>
    </row>
    <row r="79" customFormat="false" ht="32.8" hidden="false" customHeight="false" outlineLevel="0" collapsed="false">
      <c r="A79" s="37" t="s">
        <v>89</v>
      </c>
      <c r="B79" s="38" t="s">
        <v>6</v>
      </c>
      <c r="C79" s="39" t="n">
        <v>91852</v>
      </c>
      <c r="D79" s="40" t="str">
        <f aca="false">IF(B79="SINAPI",(VLOOKUP(C79,Plan1!$B:$G,2,0)),(IF(B79="COMPOSIÇÃO",((VLOOKUP(C79,Plan1!$B:$L,3,0))),(VLOOKUP(C79,Plan1!$B:$L,2,0)))))</f>
        <v>ELETRODUTO FLEXÍVEL CORRUGADO, PVC, DN 20 MM (1/2"), PARA CIRCUITOS TERMINAIS, INSTALADO EM PAREDE - FORNECIMENTO E INSTALAÇÃO. AF_03/2023</v>
      </c>
      <c r="E79" s="41" t="str">
        <f aca="false">IF(B79="SINAPI",(VLOOKUP(C79,Plan1!$B:$G,3,0)),(IF(B79="COMPOSIÇÃO",((VLOOKUP(C79,Plan1!$B:$L,4,0))),(VLOOKUP(C79,Plan1!$B:$L,5,0)))))</f>
        <v>M</v>
      </c>
      <c r="F79" s="42" t="n">
        <f aca="false">92.65*0.7</f>
        <v>64.855</v>
      </c>
      <c r="G79" s="43"/>
      <c r="H79" s="43"/>
      <c r="I79" s="43" t="n">
        <f aca="false">ROUND((H79+G79),2)</f>
        <v>0</v>
      </c>
      <c r="J79" s="43" t="n">
        <f aca="false">ROUND((G79*F79),2)</f>
        <v>0</v>
      </c>
      <c r="K79" s="43" t="n">
        <f aca="false">ROUND((H79*F79),2)</f>
        <v>0</v>
      </c>
      <c r="L79" s="43" t="n">
        <f aca="false">ROUND((K79+J79),2)</f>
        <v>0</v>
      </c>
      <c r="M79" s="43" t="n">
        <f aca="false">ROUND((IF(P79="BDI 1",((1+($S$3/100))*G79),((1+($S$4/100))*G79))),2)</f>
        <v>0</v>
      </c>
      <c r="N79" s="43" t="n">
        <f aca="false">ROUND((IF(P79="BDI 1",((1+($S$3/100))*H79),((1+($S$4/100))*H79))),2)</f>
        <v>0</v>
      </c>
      <c r="O79" s="43" t="n">
        <f aca="false">ROUND((M79+N79),2)</f>
        <v>0</v>
      </c>
      <c r="P79" s="44" t="s">
        <v>25</v>
      </c>
      <c r="Q79" s="43" t="n">
        <f aca="false">ROUND(M79*F79,2)</f>
        <v>0</v>
      </c>
      <c r="R79" s="43" t="n">
        <f aca="false">ROUND(N79*F79,2)</f>
        <v>0</v>
      </c>
      <c r="S79" s="45" t="n">
        <f aca="false">ROUND(Q79+R79,2)</f>
        <v>0</v>
      </c>
    </row>
    <row r="80" customFormat="false" ht="22.35" hidden="false" customHeight="false" outlineLevel="0" collapsed="false">
      <c r="A80" s="37" t="s">
        <v>90</v>
      </c>
      <c r="B80" s="38" t="s">
        <v>6</v>
      </c>
      <c r="C80" s="39" t="n">
        <v>90447</v>
      </c>
      <c r="D80" s="40" t="str">
        <f aca="false">IF(B80="SINAPI",(VLOOKUP(C80,Plan1!$B:$G,2,0)),(IF(B80="COMPOSIÇÃO",((VLOOKUP(C80,Plan1!$B:$L,3,0))),(VLOOKUP(C80,Plan1!$B:$L,2,0)))))</f>
        <v>RASGO LINEAR MANUAL EM ALVENARIA, PARA ELETRODUTOS, DIÂMETROS MENORES OU IGUAIS A 40 MM. AF_09/2023</v>
      </c>
      <c r="E80" s="41" t="str">
        <f aca="false">IF(B80="SINAPI",(VLOOKUP(C80,Plan1!$B:$G,3,0)),(IF(B80="COMPOSIÇÃO",((VLOOKUP(C80,Plan1!$B:$L,4,0))),(VLOOKUP(C80,Plan1!$B:$L,5,0)))))</f>
        <v>M</v>
      </c>
      <c r="F80" s="42" t="n">
        <v>92.65</v>
      </c>
      <c r="G80" s="43"/>
      <c r="H80" s="43"/>
      <c r="I80" s="43" t="n">
        <f aca="false">ROUND((H80+G80),2)</f>
        <v>0</v>
      </c>
      <c r="J80" s="43" t="n">
        <f aca="false">ROUND((G80*F80),2)</f>
        <v>0</v>
      </c>
      <c r="K80" s="43" t="n">
        <f aca="false">ROUND((H80*F80),2)</f>
        <v>0</v>
      </c>
      <c r="L80" s="43" t="n">
        <f aca="false">ROUND((K80+J80),2)</f>
        <v>0</v>
      </c>
      <c r="M80" s="43" t="n">
        <f aca="false">ROUND((IF(P80="BDI 1",((1+($S$3/100))*G80),((1+($S$4/100))*G80))),2)</f>
        <v>0</v>
      </c>
      <c r="N80" s="43" t="n">
        <f aca="false">ROUND((IF(P80="BDI 1",((1+($S$3/100))*H80),((1+($S$4/100))*H80))),2)</f>
        <v>0</v>
      </c>
      <c r="O80" s="43" t="n">
        <f aca="false">ROUND((M80+N80),2)</f>
        <v>0</v>
      </c>
      <c r="P80" s="44" t="s">
        <v>25</v>
      </c>
      <c r="Q80" s="43" t="n">
        <f aca="false">ROUND(M80*F80,2)</f>
        <v>0</v>
      </c>
      <c r="R80" s="43" t="n">
        <f aca="false">ROUND(N80*F80,2)</f>
        <v>0</v>
      </c>
      <c r="S80" s="45" t="n">
        <f aca="false">ROUND(Q80+R80,2)</f>
        <v>0</v>
      </c>
    </row>
    <row r="81" customFormat="false" ht="32.8" hidden="false" customHeight="false" outlineLevel="0" collapsed="false">
      <c r="A81" s="37" t="s">
        <v>91</v>
      </c>
      <c r="B81" s="38" t="s">
        <v>6</v>
      </c>
      <c r="C81" s="54" t="n">
        <v>91924</v>
      </c>
      <c r="D81" s="40" t="str">
        <f aca="false">IF(B81="SINAPI",(VLOOKUP(C81,Plan1!$B:$G,2,0)),(IF(B81="COMPOSIÇÃO",((VLOOKUP(C81,Plan1!$B:$L,3,0))),(VLOOKUP(C81,Plan1!$B:$L,2,0)))))</f>
        <v>CABO DE COBRE FLEXÍVEL ISOLADO, 1,5 MM², ANTI-CHAMA 450/750 V, PARA CIRCUITOS TERMINAIS - FORNECIMENTO E INSTALAÇÃO. AF_03/2023</v>
      </c>
      <c r="E81" s="41" t="str">
        <f aca="false">IF(B81="SINAPI",(VLOOKUP(C81,Plan1!$B:$G,3,0)),(IF(B81="COMPOSIÇÃO",((VLOOKUP(C81,Plan1!$B:$L,4,0))),(VLOOKUP(C81,Plan1!$B:$L,5,0)))))</f>
        <v>M</v>
      </c>
      <c r="F81" s="42" t="n">
        <f aca="false">262.15*0.6</f>
        <v>157.29</v>
      </c>
      <c r="G81" s="43"/>
      <c r="H81" s="43"/>
      <c r="I81" s="43" t="n">
        <f aca="false">ROUND((H81+G81),2)</f>
        <v>0</v>
      </c>
      <c r="J81" s="43" t="n">
        <f aca="false">ROUND((G81*F81),2)</f>
        <v>0</v>
      </c>
      <c r="K81" s="43" t="n">
        <f aca="false">ROUND((H81*F81),2)</f>
        <v>0</v>
      </c>
      <c r="L81" s="43" t="n">
        <f aca="false">ROUND((K81+J81),2)</f>
        <v>0</v>
      </c>
      <c r="M81" s="43" t="n">
        <f aca="false">ROUND((IF(P81="BDI 1",((1+($S$3/100))*G81),((1+($S$4/100))*G81))),2)</f>
        <v>0</v>
      </c>
      <c r="N81" s="43" t="n">
        <f aca="false">ROUND((IF(P81="BDI 1",((1+($S$3/100))*H81),((1+($S$4/100))*H81))),2)</f>
        <v>0</v>
      </c>
      <c r="O81" s="43" t="n">
        <f aca="false">ROUND((M81+N81),2)</f>
        <v>0</v>
      </c>
      <c r="P81" s="44" t="s">
        <v>25</v>
      </c>
      <c r="Q81" s="43" t="n">
        <f aca="false">ROUND(M81*F81,2)</f>
        <v>0</v>
      </c>
      <c r="R81" s="43" t="n">
        <f aca="false">ROUND(N81*F81,2)</f>
        <v>0</v>
      </c>
      <c r="S81" s="45" t="n">
        <f aca="false">ROUND(Q81+R81,2)</f>
        <v>0</v>
      </c>
    </row>
    <row r="82" customFormat="false" ht="32.8" hidden="false" customHeight="false" outlineLevel="0" collapsed="false">
      <c r="A82" s="37" t="s">
        <v>92</v>
      </c>
      <c r="B82" s="38" t="s">
        <v>6</v>
      </c>
      <c r="C82" s="39" t="n">
        <v>91926</v>
      </c>
      <c r="D82" s="40" t="str">
        <f aca="false">IF(B82="SINAPI",(VLOOKUP(C82,Plan1!$B:$G,2,0)),(IF(B82="COMPOSIÇÃO",((VLOOKUP(C82,Plan1!$B:$L,3,0))),(VLOOKUP(C82,Plan1!$B:$L,2,0)))))</f>
        <v>CABO DE COBRE FLEXÍVEL ISOLADO, 2,5 MM², ANTI-CHAMA 450/750 V, PARA CIRCUITOS TERMINAIS - FORNECIMENTO E INSTALAÇÃO. AF_03/2023</v>
      </c>
      <c r="E82" s="41" t="str">
        <f aca="false">IF(B82="SINAPI",(VLOOKUP(C82,Plan1!$B:$G,3,0)),(IF(B82="COMPOSIÇÃO",((VLOOKUP(C82,Plan1!$B:$L,4,0))),(VLOOKUP(C82,Plan1!$B:$L,5,0)))))</f>
        <v>M</v>
      </c>
      <c r="F82" s="42" t="n">
        <f aca="false">735.75*0.6</f>
        <v>441.45</v>
      </c>
      <c r="G82" s="43"/>
      <c r="H82" s="43"/>
      <c r="I82" s="43" t="n">
        <f aca="false">ROUND((H82+G82),2)</f>
        <v>0</v>
      </c>
      <c r="J82" s="43" t="n">
        <f aca="false">ROUND((G82*F82),2)</f>
        <v>0</v>
      </c>
      <c r="K82" s="43" t="n">
        <f aca="false">ROUND((H82*F82),2)</f>
        <v>0</v>
      </c>
      <c r="L82" s="43" t="n">
        <f aca="false">ROUND((K82+J82),2)</f>
        <v>0</v>
      </c>
      <c r="M82" s="43" t="n">
        <f aca="false">ROUND((IF(P82="BDI 1",((1+($S$3/100))*G82),((1+($S$4/100))*G82))),2)</f>
        <v>0</v>
      </c>
      <c r="N82" s="43" t="n">
        <f aca="false">ROUND((IF(P82="BDI 1",((1+($S$3/100))*H82),((1+($S$4/100))*H82))),2)</f>
        <v>0</v>
      </c>
      <c r="O82" s="43" t="n">
        <f aca="false">ROUND((M82+N82),2)</f>
        <v>0</v>
      </c>
      <c r="P82" s="44" t="s">
        <v>25</v>
      </c>
      <c r="Q82" s="43" t="n">
        <f aca="false">ROUND(M82*F82,2)</f>
        <v>0</v>
      </c>
      <c r="R82" s="43" t="n">
        <f aca="false">ROUND(N82*F82,2)</f>
        <v>0</v>
      </c>
      <c r="S82" s="45" t="n">
        <f aca="false">ROUND(Q82+R82,2)</f>
        <v>0</v>
      </c>
    </row>
    <row r="83" customFormat="false" ht="32.8" hidden="false" customHeight="false" outlineLevel="0" collapsed="false">
      <c r="A83" s="37" t="s">
        <v>93</v>
      </c>
      <c r="B83" s="38" t="s">
        <v>6</v>
      </c>
      <c r="C83" s="54" t="n">
        <v>91930</v>
      </c>
      <c r="D83" s="40" t="str">
        <f aca="false">IF(B83="SINAPI",(VLOOKUP(C83,Plan1!$B:$G,2,0)),(IF(B83="COMPOSIÇÃO",((VLOOKUP(C83,Plan1!$B:$L,3,0))),(VLOOKUP(C83,Plan1!$B:$L,2,0)))))</f>
        <v>CABO DE COBRE FLEXÍVEL ISOLADO, 6 MM², ANTI-CHAMA 450/750 V, PARA CIRCUITOS TERMINAIS - FORNECIMENTO E INSTALAÇÃO. AF_03/2023</v>
      </c>
      <c r="E83" s="41" t="str">
        <f aca="false">IF(B83="SINAPI",(VLOOKUP(C83,Plan1!$B:$G,3,0)),(IF(B83="COMPOSIÇÃO",((VLOOKUP(C83,Plan1!$B:$L,4,0))),(VLOOKUP(C83,Plan1!$B:$L,5,0)))))</f>
        <v>M</v>
      </c>
      <c r="F83" s="42" t="n">
        <f aca="false">563.85*0.6</f>
        <v>338.31</v>
      </c>
      <c r="G83" s="43"/>
      <c r="H83" s="43"/>
      <c r="I83" s="43" t="n">
        <f aca="false">ROUND((H83+G83),2)</f>
        <v>0</v>
      </c>
      <c r="J83" s="43" t="n">
        <f aca="false">ROUND((G83*F83),2)</f>
        <v>0</v>
      </c>
      <c r="K83" s="43" t="n">
        <f aca="false">ROUND((H83*F83),2)</f>
        <v>0</v>
      </c>
      <c r="L83" s="43" t="n">
        <f aca="false">ROUND((K83+J83),2)</f>
        <v>0</v>
      </c>
      <c r="M83" s="43" t="n">
        <f aca="false">ROUND((IF(P83="BDI 1",((1+($S$3/100))*G83),((1+($S$4/100))*G83))),2)</f>
        <v>0</v>
      </c>
      <c r="N83" s="43" t="n">
        <f aca="false">ROUND((IF(P83="BDI 1",((1+($S$3/100))*H83),((1+($S$4/100))*H83))),2)</f>
        <v>0</v>
      </c>
      <c r="O83" s="43" t="n">
        <f aca="false">ROUND((M83+N83),2)</f>
        <v>0</v>
      </c>
      <c r="P83" s="44" t="s">
        <v>25</v>
      </c>
      <c r="Q83" s="43" t="n">
        <f aca="false">ROUND(M83*F83,2)</f>
        <v>0</v>
      </c>
      <c r="R83" s="43" t="n">
        <f aca="false">ROUND(N83*F83,2)</f>
        <v>0</v>
      </c>
      <c r="S83" s="45" t="n">
        <f aca="false">ROUND(Q83+R83,2)</f>
        <v>0</v>
      </c>
    </row>
    <row r="84" customFormat="false" ht="22.35" hidden="false" customHeight="false" outlineLevel="0" collapsed="false">
      <c r="A84" s="37" t="s">
        <v>94</v>
      </c>
      <c r="B84" s="38" t="s">
        <v>6</v>
      </c>
      <c r="C84" s="54" t="n">
        <v>93654</v>
      </c>
      <c r="D84" s="40" t="str">
        <f aca="false">IF(B84="SINAPI",(VLOOKUP(C84,Plan1!$B:$G,2,0)),(IF(B84="COMPOSIÇÃO",((VLOOKUP(C84,Plan1!$B:$L,3,0))),(VLOOKUP(C84,Plan1!$B:$L,2,0)))))</f>
        <v>DISJUNTOR MONOPOLAR TIPO DIN, CORRENTE NOMINAL DE 16A - FORNECIMENTO E INSTALAÇÃO. AF_10/2020</v>
      </c>
      <c r="E84" s="41" t="str">
        <f aca="false">IF(B84="SINAPI",(VLOOKUP(C84,Plan1!$B:$G,3,0)),(IF(B84="COMPOSIÇÃO",((VLOOKUP(C84,Plan1!$B:$L,4,0))),(VLOOKUP(C84,Plan1!$B:$L,5,0)))))</f>
        <v>UN</v>
      </c>
      <c r="F84" s="42" t="n">
        <v>1</v>
      </c>
      <c r="G84" s="43"/>
      <c r="H84" s="43"/>
      <c r="I84" s="43" t="n">
        <f aca="false">ROUND((H84+G84),2)</f>
        <v>0</v>
      </c>
      <c r="J84" s="43" t="n">
        <f aca="false">ROUND((G84*F84),2)</f>
        <v>0</v>
      </c>
      <c r="K84" s="43" t="n">
        <f aca="false">ROUND((H84*F84),2)</f>
        <v>0</v>
      </c>
      <c r="L84" s="43" t="n">
        <f aca="false">ROUND((K84+J84),2)</f>
        <v>0</v>
      </c>
      <c r="M84" s="43" t="n">
        <f aca="false">ROUND((IF(P84="BDI 1",((1+($S$3/100))*G84),((1+($S$4/100))*G84))),2)</f>
        <v>0</v>
      </c>
      <c r="N84" s="43" t="n">
        <f aca="false">ROUND((IF(P84="BDI 1",((1+($S$3/100))*H84),((1+($S$4/100))*H84))),2)</f>
        <v>0</v>
      </c>
      <c r="O84" s="43" t="n">
        <f aca="false">ROUND((M84+N84),2)</f>
        <v>0</v>
      </c>
      <c r="P84" s="44" t="s">
        <v>25</v>
      </c>
      <c r="Q84" s="43" t="n">
        <f aca="false">ROUND(M84*F84,2)</f>
        <v>0</v>
      </c>
      <c r="R84" s="43" t="n">
        <f aca="false">ROUND(N84*F84,2)</f>
        <v>0</v>
      </c>
      <c r="S84" s="45" t="n">
        <f aca="false">ROUND(Q84+R84,2)</f>
        <v>0</v>
      </c>
    </row>
    <row r="85" customFormat="false" ht="22.35" hidden="false" customHeight="false" outlineLevel="0" collapsed="false">
      <c r="A85" s="37" t="s">
        <v>95</v>
      </c>
      <c r="B85" s="38" t="s">
        <v>6</v>
      </c>
      <c r="C85" s="54" t="n">
        <v>93655</v>
      </c>
      <c r="D85" s="40" t="str">
        <f aca="false">IF(B85="SINAPI",(VLOOKUP(C85,Plan1!$B:$G,2,0)),(IF(B85="COMPOSIÇÃO",((VLOOKUP(C85,Plan1!$B:$L,3,0))),(VLOOKUP(C85,Plan1!$B:$L,2,0)))))</f>
        <v>DISJUNTOR MONOPOLAR TIPO DIN, CORRENTE NOMINAL DE 20A - FORNECIMENTO E INSTALAÇÃO. AF_10/2020</v>
      </c>
      <c r="E85" s="41" t="str">
        <f aca="false">IF(B85="SINAPI",(VLOOKUP(C85,Plan1!$B:$G,3,0)),(IF(B85="COMPOSIÇÃO",((VLOOKUP(C85,Plan1!$B:$L,4,0))),(VLOOKUP(C85,Plan1!$B:$L,5,0)))))</f>
        <v>UN</v>
      </c>
      <c r="F85" s="42" t="n">
        <v>2</v>
      </c>
      <c r="G85" s="43"/>
      <c r="H85" s="43"/>
      <c r="I85" s="43" t="n">
        <f aca="false">ROUND((H85+G85),2)</f>
        <v>0</v>
      </c>
      <c r="J85" s="43" t="n">
        <f aca="false">ROUND((G85*F85),2)</f>
        <v>0</v>
      </c>
      <c r="K85" s="43" t="n">
        <f aca="false">ROUND((H85*F85),2)</f>
        <v>0</v>
      </c>
      <c r="L85" s="43" t="n">
        <f aca="false">ROUND((K85+J85),2)</f>
        <v>0</v>
      </c>
      <c r="M85" s="43" t="n">
        <f aca="false">ROUND((IF(P85="BDI 1",((1+($S$3/100))*G85),((1+($S$4/100))*G85))),2)</f>
        <v>0</v>
      </c>
      <c r="N85" s="43" t="n">
        <f aca="false">ROUND((IF(P85="BDI 1",((1+($S$3/100))*H85),((1+($S$4/100))*H85))),2)</f>
        <v>0</v>
      </c>
      <c r="O85" s="43" t="n">
        <f aca="false">ROUND((M85+N85),2)</f>
        <v>0</v>
      </c>
      <c r="P85" s="44" t="s">
        <v>25</v>
      </c>
      <c r="Q85" s="43" t="n">
        <f aca="false">ROUND(M85*F85,2)</f>
        <v>0</v>
      </c>
      <c r="R85" s="43" t="n">
        <f aca="false">ROUND(N85*F85,2)</f>
        <v>0</v>
      </c>
      <c r="S85" s="45" t="n">
        <f aca="false">ROUND(Q85+R85,2)</f>
        <v>0</v>
      </c>
    </row>
    <row r="86" customFormat="false" ht="22.35" hidden="false" customHeight="false" outlineLevel="0" collapsed="false">
      <c r="A86" s="37" t="s">
        <v>96</v>
      </c>
      <c r="B86" s="38" t="s">
        <v>6</v>
      </c>
      <c r="C86" s="39" t="n">
        <v>93656</v>
      </c>
      <c r="D86" s="40" t="str">
        <f aca="false">IF(B86="SINAPI",(VLOOKUP(C86,Plan1!$B:$G,2,0)),(IF(B86="COMPOSIÇÃO",((VLOOKUP(C86,Plan1!$B:$L,3,0))),(VLOOKUP(C86,Plan1!$B:$L,2,0)))))</f>
        <v>DISJUNTOR MONOPOLAR TIPO DIN, CORRENTE NOMINAL DE 25A - FORNECIMENTO E INSTALAÇÃO. AF_10/2020</v>
      </c>
      <c r="E86" s="41" t="str">
        <f aca="false">IF(B86="SINAPI",(VLOOKUP(C86,Plan1!$B:$G,3,0)),(IF(B86="COMPOSIÇÃO",((VLOOKUP(C86,Plan1!$B:$L,4,0))),(VLOOKUP(C86,Plan1!$B:$L,5,0)))))</f>
        <v>UN</v>
      </c>
      <c r="F86" s="42" t="n">
        <v>4</v>
      </c>
      <c r="G86" s="43"/>
      <c r="H86" s="43"/>
      <c r="I86" s="43" t="n">
        <f aca="false">ROUND((H86+G86),2)</f>
        <v>0</v>
      </c>
      <c r="J86" s="43" t="n">
        <f aca="false">ROUND((G86*F86),2)</f>
        <v>0</v>
      </c>
      <c r="K86" s="43" t="n">
        <f aca="false">ROUND((H86*F86),2)</f>
        <v>0</v>
      </c>
      <c r="L86" s="43" t="n">
        <f aca="false">ROUND((K86+J86),2)</f>
        <v>0</v>
      </c>
      <c r="M86" s="43" t="n">
        <f aca="false">ROUND((IF(P86="BDI 1",((1+($S$3/100))*G86),((1+($S$4/100))*G86))),2)</f>
        <v>0</v>
      </c>
      <c r="N86" s="43" t="n">
        <f aca="false">ROUND((IF(P86="BDI 1",((1+($S$3/100))*H86),((1+($S$4/100))*H86))),2)</f>
        <v>0</v>
      </c>
      <c r="O86" s="43" t="n">
        <f aca="false">ROUND((M86+N86),2)</f>
        <v>0</v>
      </c>
      <c r="P86" s="44" t="s">
        <v>25</v>
      </c>
      <c r="Q86" s="43" t="n">
        <f aca="false">ROUND(M86*F86,2)</f>
        <v>0</v>
      </c>
      <c r="R86" s="43" t="n">
        <f aca="false">ROUND(N86*F86,2)</f>
        <v>0</v>
      </c>
      <c r="S86" s="45" t="n">
        <f aca="false">ROUND(Q86+R86,2)</f>
        <v>0</v>
      </c>
    </row>
    <row r="87" customFormat="false" ht="22.35" hidden="false" customHeight="false" outlineLevel="0" collapsed="false">
      <c r="A87" s="37" t="s">
        <v>97</v>
      </c>
      <c r="B87" s="38" t="s">
        <v>6</v>
      </c>
      <c r="C87" s="39" t="n">
        <v>93658</v>
      </c>
      <c r="D87" s="40" t="str">
        <f aca="false">IF(B87="SINAPI",(VLOOKUP(C87,Plan1!$B:$G,2,0)),(IF(B87="COMPOSIÇÃO",((VLOOKUP(C87,Plan1!$B:$L,3,0))),(VLOOKUP(C87,Plan1!$B:$L,2,0)))))</f>
        <v>DISJUNTOR MONOPOLAR TIPO DIN, CORRENTE NOMINAL DE 40A - FORNECIMENTO E INSTALAÇÃO. AF_10/2020</v>
      </c>
      <c r="E87" s="41" t="str">
        <f aca="false">IF(B87="SINAPI",(VLOOKUP(C87,Plan1!$B:$G,3,0)),(IF(B87="COMPOSIÇÃO",((VLOOKUP(C87,Plan1!$B:$L,4,0))),(VLOOKUP(C87,Plan1!$B:$L,5,0)))))</f>
        <v>UN</v>
      </c>
      <c r="F87" s="42" t="n">
        <v>7</v>
      </c>
      <c r="G87" s="43"/>
      <c r="H87" s="43"/>
      <c r="I87" s="43" t="n">
        <f aca="false">ROUND((H87+G87),2)</f>
        <v>0</v>
      </c>
      <c r="J87" s="43" t="n">
        <f aca="false">ROUND((G87*F87),2)</f>
        <v>0</v>
      </c>
      <c r="K87" s="43" t="n">
        <f aca="false">ROUND((H87*F87),2)</f>
        <v>0</v>
      </c>
      <c r="L87" s="43" t="n">
        <f aca="false">ROUND((K87+J87),2)</f>
        <v>0</v>
      </c>
      <c r="M87" s="43" t="n">
        <f aca="false">ROUND((IF(P87="BDI 1",((1+($S$3/100))*G87),((1+($S$4/100))*G87))),2)</f>
        <v>0</v>
      </c>
      <c r="N87" s="43" t="n">
        <f aca="false">ROUND((IF(P87="BDI 1",((1+($S$3/100))*H87),((1+($S$4/100))*H87))),2)</f>
        <v>0</v>
      </c>
      <c r="O87" s="43" t="n">
        <f aca="false">ROUND((M87+N87),2)</f>
        <v>0</v>
      </c>
      <c r="P87" s="44" t="s">
        <v>25</v>
      </c>
      <c r="Q87" s="43" t="n">
        <f aca="false">ROUND(M87*F87,2)</f>
        <v>0</v>
      </c>
      <c r="R87" s="43" t="n">
        <f aca="false">ROUND(N87*F87,2)</f>
        <v>0</v>
      </c>
      <c r="S87" s="45" t="n">
        <f aca="false">ROUND(Q87+R87,2)</f>
        <v>0</v>
      </c>
    </row>
    <row r="88" customFormat="false" ht="64.15" hidden="false" customHeight="false" outlineLevel="0" collapsed="false">
      <c r="A88" s="37" t="s">
        <v>98</v>
      </c>
      <c r="B88" s="38" t="s">
        <v>6</v>
      </c>
      <c r="C88" s="54" t="n">
        <v>39446</v>
      </c>
      <c r="D88" s="40" t="str">
        <f aca="false">IF(B88="SINAPI",(VLOOKUP(C88,Plan1!$B:$G,2,0)),(IF(B88="COMPOSIÇÃO",((VLOOKUP(C88,Plan1!$B:$L,3,0))),(VLOOKUP(C88,Plan1!$B:$L,2,0)))))</f>
        <v>DISPOSITIVO DR, 2 POLOS, SENSIBILIDADE DE 30 MA, CORRENTE DE 40 A, TIPO AC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v>
      </c>
      <c r="E88" s="41" t="str">
        <f aca="false">IF(B88="SINAPI",(VLOOKUP(C88,Plan1!$B:$G,3,0)),(IF(B88="COMPOSIÇÃO",((VLOOKUP(C88,Plan1!$B:$L,4,0))),(VLOOKUP(C88,Plan1!$B:$L,5,0)))))</f>
        <v>UN    </v>
      </c>
      <c r="F88" s="42" t="n">
        <v>3</v>
      </c>
      <c r="G88" s="43"/>
      <c r="H88" s="43"/>
      <c r="I88" s="43" t="n">
        <f aca="false">ROUND((H88+G88),2)</f>
        <v>0</v>
      </c>
      <c r="J88" s="43" t="n">
        <f aca="false">ROUND((G88*F88),2)</f>
        <v>0</v>
      </c>
      <c r="K88" s="43" t="n">
        <f aca="false">ROUND((H88*F88),2)</f>
        <v>0</v>
      </c>
      <c r="L88" s="43" t="n">
        <f aca="false">ROUND((K88+J88),2)</f>
        <v>0</v>
      </c>
      <c r="M88" s="43" t="n">
        <f aca="false">ROUND((IF(P88="BDI 1",((1+($S$3/100))*G88),((1+($S$4/100))*G88))),2)</f>
        <v>0</v>
      </c>
      <c r="N88" s="43" t="n">
        <f aca="false">ROUND((IF(P88="BDI 1",((1+($S$3/100))*H88),((1+($S$4/100))*H88))),2)</f>
        <v>0</v>
      </c>
      <c r="O88" s="43" t="n">
        <f aca="false">ROUND((M88+N88),2)</f>
        <v>0</v>
      </c>
      <c r="P88" s="44" t="s">
        <v>25</v>
      </c>
      <c r="Q88" s="43" t="n">
        <f aca="false">ROUND(M88*F88,2)</f>
        <v>0</v>
      </c>
      <c r="R88" s="43" t="n">
        <f aca="false">ROUND(N88*F88,2)</f>
        <v>0</v>
      </c>
      <c r="S88" s="45" t="n">
        <f aca="false">ROUND(Q88+R88,2)</f>
        <v>0</v>
      </c>
    </row>
    <row r="89" customFormat="false" ht="22.35" hidden="false" customHeight="false" outlineLevel="0" collapsed="false">
      <c r="A89" s="37" t="s">
        <v>99</v>
      </c>
      <c r="B89" s="38" t="s">
        <v>6</v>
      </c>
      <c r="C89" s="39" t="n">
        <v>101894</v>
      </c>
      <c r="D89" s="40" t="str">
        <f aca="false">IF(B89="SINAPI",(VLOOKUP(C89,Plan1!$B:$G,2,0)),(IF(B89="COMPOSIÇÃO",((VLOOKUP(C89,Plan1!$B:$L,3,0))),(VLOOKUP(C89,Plan1!$B:$L,2,0)))))</f>
        <v>DISJUNTOR TRIPOLAR TIPO NEMA, CORRENTE NOMINAL DE 60 ATÉ 100A - FORNECIMENTO E INSTALAÇÃO. AF_10/2020</v>
      </c>
      <c r="E89" s="41" t="str">
        <f aca="false">IF(B89="SINAPI",(VLOOKUP(C89,Plan1!$B:$G,3,0)),(IF(B89="COMPOSIÇÃO",((VLOOKUP(C89,Plan1!$B:$L,4,0))),(VLOOKUP(C89,Plan1!$B:$L,5,0)))))</f>
        <v>UN</v>
      </c>
      <c r="F89" s="42" t="n">
        <v>1</v>
      </c>
      <c r="G89" s="43"/>
      <c r="H89" s="43"/>
      <c r="I89" s="43" t="n">
        <f aca="false">ROUND((H89+G89),2)</f>
        <v>0</v>
      </c>
      <c r="J89" s="43" t="n">
        <f aca="false">ROUND((G89*F89),2)</f>
        <v>0</v>
      </c>
      <c r="K89" s="43" t="n">
        <f aca="false">ROUND((H89*F89),2)</f>
        <v>0</v>
      </c>
      <c r="L89" s="43" t="n">
        <f aca="false">ROUND((K89+J89),2)</f>
        <v>0</v>
      </c>
      <c r="M89" s="43" t="n">
        <f aca="false">ROUND((IF(P89="BDI 1",((1+($S$3/100))*G89),((1+($S$4/100))*G89))),2)</f>
        <v>0</v>
      </c>
      <c r="N89" s="43" t="n">
        <f aca="false">ROUND((IF(P89="BDI 1",((1+($S$3/100))*H89),((1+($S$4/100))*H89))),2)</f>
        <v>0</v>
      </c>
      <c r="O89" s="43" t="n">
        <f aca="false">ROUND((M89+N89),2)</f>
        <v>0</v>
      </c>
      <c r="P89" s="44" t="s">
        <v>25</v>
      </c>
      <c r="Q89" s="43" t="n">
        <f aca="false">ROUND(M89*F89,2)</f>
        <v>0</v>
      </c>
      <c r="R89" s="43" t="n">
        <f aca="false">ROUND(N89*F89,2)</f>
        <v>0</v>
      </c>
      <c r="S89" s="45" t="n">
        <f aca="false">ROUND(Q89+R89,2)</f>
        <v>0</v>
      </c>
    </row>
    <row r="90" customFormat="false" ht="15" hidden="false" customHeight="false" outlineLevel="0" collapsed="false">
      <c r="A90" s="55"/>
      <c r="B90" s="55"/>
      <c r="C90" s="56"/>
      <c r="D90" s="57"/>
      <c r="E90" s="56"/>
      <c r="F90" s="58"/>
      <c r="G90" s="58"/>
      <c r="H90" s="58"/>
      <c r="I90" s="59"/>
      <c r="J90" s="59"/>
      <c r="K90" s="59"/>
      <c r="L90" s="59"/>
      <c r="M90" s="52"/>
      <c r="N90" s="52"/>
      <c r="O90" s="52"/>
      <c r="P90" s="52"/>
      <c r="Q90" s="52"/>
      <c r="R90" s="52"/>
      <c r="S90" s="53"/>
    </row>
    <row r="91" customFormat="false" ht="15" hidden="false" customHeight="false" outlineLevel="0" collapsed="false">
      <c r="A91" s="31" t="n">
        <v>7</v>
      </c>
      <c r="B91" s="32"/>
      <c r="C91" s="33"/>
      <c r="D91" s="34" t="s">
        <v>100</v>
      </c>
      <c r="E91" s="34"/>
      <c r="F91" s="35"/>
      <c r="G91" s="36"/>
      <c r="H91" s="36"/>
      <c r="I91" s="36"/>
      <c r="J91" s="36" t="n">
        <f aca="false">ROUND(SUM(J92:J102),2)</f>
        <v>0</v>
      </c>
      <c r="K91" s="36" t="n">
        <f aca="false">ROUND(SUM(K92:K102),2)</f>
        <v>0</v>
      </c>
      <c r="L91" s="36" t="n">
        <f aca="false">ROUND(SUM(L92:L102),2)</f>
        <v>0</v>
      </c>
      <c r="M91" s="36"/>
      <c r="N91" s="36"/>
      <c r="O91" s="36"/>
      <c r="P91" s="36"/>
      <c r="Q91" s="36" t="n">
        <f aca="false">ROUND((SUM(Q92:Q102)),2)</f>
        <v>0</v>
      </c>
      <c r="R91" s="36" t="n">
        <f aca="false">ROUND((SUM(R92:R102)),2)</f>
        <v>0</v>
      </c>
      <c r="S91" s="36" t="n">
        <f aca="false">ROUND((SUM(S92:S102)),2)</f>
        <v>0</v>
      </c>
    </row>
    <row r="92" customFormat="false" ht="22.35" hidden="false" customHeight="false" outlineLevel="0" collapsed="false">
      <c r="A92" s="37" t="s">
        <v>101</v>
      </c>
      <c r="B92" s="38" t="s">
        <v>6</v>
      </c>
      <c r="C92" s="39" t="n">
        <v>102193</v>
      </c>
      <c r="D92" s="40" t="str">
        <f aca="false">IF(B92="SINAPI",(VLOOKUP(C92,Plan1!$B:$G,2,0)),(IF(B92="COMPOSIÇÃO",((VLOOKUP(C92,Plan1!$B:$L,3,0))),(VLOOKUP(C92,Plan1!$B:$L,2,0)))))</f>
        <v>LIXAMENTO DE MADEIRA PARA APLICAÇÃO DE FUNDO OU PINTURA. AF_01/2021</v>
      </c>
      <c r="E92" s="41" t="str">
        <f aca="false">IF(B92="SINAPI",(VLOOKUP(C92,Plan1!$B:$G,3,0)),(IF(B92="COMPOSIÇÃO",((VLOOKUP(C92,Plan1!$B:$L,4,0))),(VLOOKUP(C92,Plan1!$B:$L,5,0)))))</f>
        <v>M2</v>
      </c>
      <c r="F92" s="42" t="n">
        <v>36.12</v>
      </c>
      <c r="G92" s="43"/>
      <c r="H92" s="43"/>
      <c r="I92" s="43" t="n">
        <f aca="false">ROUND((H92+G92),2)</f>
        <v>0</v>
      </c>
      <c r="J92" s="43" t="n">
        <f aca="false">ROUND((G92*F92),2)</f>
        <v>0</v>
      </c>
      <c r="K92" s="43" t="n">
        <f aca="false">ROUND((H92*F92),2)</f>
        <v>0</v>
      </c>
      <c r="L92" s="43" t="n">
        <f aca="false">ROUND((K92+J92),2)</f>
        <v>0</v>
      </c>
      <c r="M92" s="43" t="n">
        <f aca="false">ROUND((IF(P92="BDI 1",((1+($S$3/100))*G92),((1+($S$4/100))*G92))),2)</f>
        <v>0</v>
      </c>
      <c r="N92" s="43" t="n">
        <f aca="false">ROUND((IF(P92="BDI 1",((1+($S$3/100))*H92),((1+($S$4/100))*H92))),2)</f>
        <v>0</v>
      </c>
      <c r="O92" s="43" t="n">
        <f aca="false">ROUND((M92+N92),2)</f>
        <v>0</v>
      </c>
      <c r="P92" s="44" t="s">
        <v>25</v>
      </c>
      <c r="Q92" s="43" t="n">
        <f aca="false">ROUND(M92*F92,2)</f>
        <v>0</v>
      </c>
      <c r="R92" s="43" t="n">
        <f aca="false">ROUND(N92*F92,2)</f>
        <v>0</v>
      </c>
      <c r="S92" s="45" t="n">
        <f aca="false">ROUND(Q92+R92,2)</f>
        <v>0</v>
      </c>
    </row>
    <row r="93" customFormat="false" ht="22.35" hidden="false" customHeight="false" outlineLevel="0" collapsed="false">
      <c r="A93" s="37" t="s">
        <v>102</v>
      </c>
      <c r="B93" s="38" t="s">
        <v>6</v>
      </c>
      <c r="C93" s="39" t="n">
        <v>102197</v>
      </c>
      <c r="D93" s="40" t="str">
        <f aca="false">IF(B93="SINAPI",(VLOOKUP(C93,Plan1!$B:$G,2,0)),(IF(B93="COMPOSIÇÃO",((VLOOKUP(C93,Plan1!$B:$L,3,0))),(VLOOKUP(C93,Plan1!$B:$L,2,0)))))</f>
        <v>PINTURA FUNDO NIVELADOR ALQUÍDICO BRANCO EM MADEIRA. AF_01/2021</v>
      </c>
      <c r="E93" s="41" t="str">
        <f aca="false">IF(B93="SINAPI",(VLOOKUP(C93,Plan1!$B:$G,3,0)),(IF(B93="COMPOSIÇÃO",((VLOOKUP(C93,Plan1!$B:$L,4,0))),(VLOOKUP(C93,Plan1!$B:$L,5,0)))))</f>
        <v>M2</v>
      </c>
      <c r="F93" s="42" t="n">
        <v>36.12</v>
      </c>
      <c r="G93" s="43"/>
      <c r="H93" s="43"/>
      <c r="I93" s="43" t="n">
        <f aca="false">ROUND((H93+G93),2)</f>
        <v>0</v>
      </c>
      <c r="J93" s="43" t="n">
        <f aca="false">ROUND((G93*F93),2)</f>
        <v>0</v>
      </c>
      <c r="K93" s="43" t="n">
        <f aca="false">ROUND((H93*F93),2)</f>
        <v>0</v>
      </c>
      <c r="L93" s="43" t="n">
        <f aca="false">ROUND((K93+J93),2)</f>
        <v>0</v>
      </c>
      <c r="M93" s="43" t="n">
        <f aca="false">ROUND((IF(P93="BDI 1",((1+($S$3/100))*G93),((1+($S$4/100))*G93))),2)</f>
        <v>0</v>
      </c>
      <c r="N93" s="43" t="n">
        <f aca="false">ROUND((IF(P93="BDI 1",((1+($S$3/100))*H93),((1+($S$4/100))*H93))),2)</f>
        <v>0</v>
      </c>
      <c r="O93" s="43" t="n">
        <f aca="false">ROUND((M93+N93),2)</f>
        <v>0</v>
      </c>
      <c r="P93" s="44" t="s">
        <v>25</v>
      </c>
      <c r="Q93" s="43" t="n">
        <f aca="false">ROUND(M93*F93,2)</f>
        <v>0</v>
      </c>
      <c r="R93" s="43" t="n">
        <f aca="false">ROUND(N93*F93,2)</f>
        <v>0</v>
      </c>
      <c r="S93" s="45" t="n">
        <f aca="false">ROUND(Q93+R93,2)</f>
        <v>0</v>
      </c>
    </row>
    <row r="94" customFormat="false" ht="22.35" hidden="false" customHeight="false" outlineLevel="0" collapsed="false">
      <c r="A94" s="37" t="s">
        <v>103</v>
      </c>
      <c r="B94" s="38" t="s">
        <v>6</v>
      </c>
      <c r="C94" s="54" t="n">
        <v>102229</v>
      </c>
      <c r="D94" s="40" t="str">
        <f aca="false">IF(B94="SINAPI",(VLOOKUP(C94,Plan1!$B:$G,2,0)),(IF(B94="COMPOSIÇÃO",((VLOOKUP(C94,Plan1!$B:$L,3,0))),(VLOOKUP(C94,Plan1!$B:$L,2,0)))))</f>
        <v>PINTURA TINTA DE ACABAMENTO (PIGMENTADA) ESMALTE SINTÉTICO ACETINADO EM MADEIRA, 3 DEMÃOS. AF_01/2021</v>
      </c>
      <c r="E94" s="41" t="str">
        <f aca="false">IF(B94="SINAPI",(VLOOKUP(C94,Plan1!$B:$G,3,0)),(IF(B94="COMPOSIÇÃO",((VLOOKUP(C94,Plan1!$B:$L,4,0))),(VLOOKUP(C94,Plan1!$B:$L,5,0)))))</f>
        <v>M2</v>
      </c>
      <c r="F94" s="42" t="n">
        <v>36.12</v>
      </c>
      <c r="G94" s="43"/>
      <c r="H94" s="43"/>
      <c r="I94" s="43" t="n">
        <f aca="false">ROUND((H94+G94),2)</f>
        <v>0</v>
      </c>
      <c r="J94" s="43" t="n">
        <f aca="false">ROUND((G94*F94),2)</f>
        <v>0</v>
      </c>
      <c r="K94" s="43" t="n">
        <f aca="false">ROUND((H94*F94),2)</f>
        <v>0</v>
      </c>
      <c r="L94" s="43" t="n">
        <f aca="false">ROUND((K94+J94),2)</f>
        <v>0</v>
      </c>
      <c r="M94" s="43" t="n">
        <f aca="false">ROUND((IF(P94="BDI 1",((1+($S$3/100))*G94),((1+($S$4/100))*G94))),2)</f>
        <v>0</v>
      </c>
      <c r="N94" s="43" t="n">
        <f aca="false">ROUND((IF(P94="BDI 1",((1+($S$3/100))*H94),((1+($S$4/100))*H94))),2)</f>
        <v>0</v>
      </c>
      <c r="O94" s="43" t="n">
        <f aca="false">ROUND((M94+N94),2)</f>
        <v>0</v>
      </c>
      <c r="P94" s="44" t="s">
        <v>25</v>
      </c>
      <c r="Q94" s="43" t="n">
        <f aca="false">ROUND(M94*F94,2)</f>
        <v>0</v>
      </c>
      <c r="R94" s="43" t="n">
        <f aca="false">ROUND(N94*F94,2)</f>
        <v>0</v>
      </c>
      <c r="S94" s="45" t="n">
        <f aca="false">ROUND(Q94+R94,2)</f>
        <v>0</v>
      </c>
    </row>
    <row r="95" customFormat="false" ht="22.35" hidden="false" customHeight="false" outlineLevel="0" collapsed="false">
      <c r="A95" s="37" t="s">
        <v>104</v>
      </c>
      <c r="B95" s="38" t="s">
        <v>6</v>
      </c>
      <c r="C95" s="39" t="n">
        <v>88485</v>
      </c>
      <c r="D95" s="40" t="str">
        <f aca="false">IF(B95="SINAPI",(VLOOKUP(C95,Plan1!$B:$G,2,0)),(IF(B95="COMPOSIÇÃO",((VLOOKUP(C95,Plan1!$B:$L,3,0))),(VLOOKUP(C95,Plan1!$B:$L,2,0)))))</f>
        <v>FUNDO SELADOR ACRÍLICO, APLICAÇÃO MANUAL EM PAREDE, UMA DEMÃO. AF_04/2023</v>
      </c>
      <c r="E95" s="41" t="str">
        <f aca="false">IF(B95="SINAPI",(VLOOKUP(C95,Plan1!$B:$G,3,0)),(IF(B95="COMPOSIÇÃO",((VLOOKUP(C95,Plan1!$B:$L,4,0))),(VLOOKUP(C95,Plan1!$B:$L,5,0)))))</f>
        <v>M2</v>
      </c>
      <c r="F95" s="42" t="n">
        <v>126.7</v>
      </c>
      <c r="G95" s="43"/>
      <c r="H95" s="43"/>
      <c r="I95" s="43" t="n">
        <f aca="false">ROUND((H95+G95),2)</f>
        <v>0</v>
      </c>
      <c r="J95" s="43" t="n">
        <f aca="false">ROUND((G95*F95),2)</f>
        <v>0</v>
      </c>
      <c r="K95" s="43" t="n">
        <f aca="false">ROUND((H95*F95),2)</f>
        <v>0</v>
      </c>
      <c r="L95" s="43" t="n">
        <f aca="false">ROUND((K95+J95),2)</f>
        <v>0</v>
      </c>
      <c r="M95" s="43" t="n">
        <f aca="false">ROUND((IF(P95="BDI 1",((1+($S$3/100))*G95),((1+($S$4/100))*G95))),2)</f>
        <v>0</v>
      </c>
      <c r="N95" s="43" t="n">
        <f aca="false">ROUND((IF(P95="BDI 1",((1+($S$3/100))*H95),((1+($S$4/100))*H95))),2)</f>
        <v>0</v>
      </c>
      <c r="O95" s="43" t="n">
        <f aca="false">ROUND((M95+N95),2)</f>
        <v>0</v>
      </c>
      <c r="P95" s="44" t="s">
        <v>25</v>
      </c>
      <c r="Q95" s="43" t="n">
        <f aca="false">ROUND(M95*F95,2)</f>
        <v>0</v>
      </c>
      <c r="R95" s="43" t="n">
        <f aca="false">ROUND(N95*F95,2)</f>
        <v>0</v>
      </c>
      <c r="S95" s="45" t="n">
        <f aca="false">ROUND(Q95+R95,2)</f>
        <v>0</v>
      </c>
    </row>
    <row r="96" customFormat="false" ht="22.35" hidden="false" customHeight="false" outlineLevel="0" collapsed="false">
      <c r="A96" s="37" t="s">
        <v>105</v>
      </c>
      <c r="B96" s="38" t="s">
        <v>6</v>
      </c>
      <c r="C96" s="54" t="n">
        <v>88489</v>
      </c>
      <c r="D96" s="40" t="str">
        <f aca="false">IF(B96="SINAPI",(VLOOKUP(C96,Plan1!$B:$G,2,0)),(IF(B96="COMPOSIÇÃO",((VLOOKUP(C96,Plan1!$B:$L,3,0))),(VLOOKUP(C96,Plan1!$B:$L,2,0)))))</f>
        <v>PINTURA LÁTEX ACRÍLICA PREMIUM, APLICAÇÃO MANUAL EM PAREDES, DUAS DEMÃOS. AF_04/2023</v>
      </c>
      <c r="E96" s="41" t="str">
        <f aca="false">IF(B96="SINAPI",(VLOOKUP(C96,Plan1!$B:$G,3,0)),(IF(B96="COMPOSIÇÃO",((VLOOKUP(C96,Plan1!$B:$L,4,0))),(VLOOKUP(C96,Plan1!$B:$L,5,0)))))</f>
        <v>M2</v>
      </c>
      <c r="F96" s="42" t="n">
        <v>529.1</v>
      </c>
      <c r="G96" s="43"/>
      <c r="H96" s="43"/>
      <c r="I96" s="43" t="n">
        <f aca="false">ROUND((H96+G96),2)</f>
        <v>0</v>
      </c>
      <c r="J96" s="43" t="n">
        <f aca="false">ROUND((G96*F96),2)</f>
        <v>0</v>
      </c>
      <c r="K96" s="43" t="n">
        <f aca="false">ROUND((H96*F96),2)</f>
        <v>0</v>
      </c>
      <c r="L96" s="43" t="n">
        <f aca="false">ROUND((K96+J96),2)</f>
        <v>0</v>
      </c>
      <c r="M96" s="43" t="n">
        <f aca="false">ROUND((IF(P96="BDI 1",((1+($S$3/100))*G96),((1+($S$4/100))*G96))),2)</f>
        <v>0</v>
      </c>
      <c r="N96" s="43" t="n">
        <f aca="false">ROUND((IF(P96="BDI 1",((1+($S$3/100))*H96),((1+($S$4/100))*H96))),2)</f>
        <v>0</v>
      </c>
      <c r="O96" s="43" t="n">
        <f aca="false">ROUND((M96+N96),2)</f>
        <v>0</v>
      </c>
      <c r="P96" s="44" t="s">
        <v>25</v>
      </c>
      <c r="Q96" s="43" t="n">
        <f aca="false">ROUND(M96*F96,2)</f>
        <v>0</v>
      </c>
      <c r="R96" s="43" t="n">
        <f aca="false">ROUND(N96*F96,2)</f>
        <v>0</v>
      </c>
      <c r="S96" s="45" t="n">
        <f aca="false">ROUND(Q96+R96,2)</f>
        <v>0</v>
      </c>
    </row>
    <row r="97" customFormat="false" ht="32.8" hidden="false" customHeight="false" outlineLevel="0" collapsed="false">
      <c r="A97" s="37" t="s">
        <v>106</v>
      </c>
      <c r="B97" s="38" t="s">
        <v>6</v>
      </c>
      <c r="C97" s="39" t="n">
        <v>87249</v>
      </c>
      <c r="D97" s="40" t="str">
        <f aca="false">IF(B97="SINAPI",(VLOOKUP(C97,Plan1!$B:$G,2,0)),(IF(B97="COMPOSIÇÃO",((VLOOKUP(C97,Plan1!$B:$L,3,0))),(VLOOKUP(C97,Plan1!$B:$L,2,0)))))</f>
        <v>REVESTIMENTO CERÂMICO PARA PISO COM PLACAS TIPO ESMALTADA EXTRA DE DIMENSÕES 45X45 CM APLICADA EM AMBIENTES DE ÁREA MENOR QUE 5 M2. AF_02/2023_PE</v>
      </c>
      <c r="E97" s="41" t="str">
        <f aca="false">IF(B97="SINAPI",(VLOOKUP(C97,Plan1!$B:$G,3,0)),(IF(B97="COMPOSIÇÃO",((VLOOKUP(C97,Plan1!$B:$L,4,0))),(VLOOKUP(C97,Plan1!$B:$L,5,0)))))</f>
        <v>M2</v>
      </c>
      <c r="F97" s="42" t="n">
        <v>57.05</v>
      </c>
      <c r="G97" s="43"/>
      <c r="H97" s="43"/>
      <c r="I97" s="43" t="n">
        <f aca="false">ROUND((H97+G97),2)</f>
        <v>0</v>
      </c>
      <c r="J97" s="43" t="n">
        <f aca="false">ROUND((G97*F97),2)</f>
        <v>0</v>
      </c>
      <c r="K97" s="43" t="n">
        <f aca="false">ROUND((H97*F97),2)</f>
        <v>0</v>
      </c>
      <c r="L97" s="43" t="n">
        <f aca="false">ROUND((K97+J97),2)</f>
        <v>0</v>
      </c>
      <c r="M97" s="43" t="n">
        <f aca="false">ROUND((IF(P97="BDI 1",((1+($S$3/100))*G97),((1+($S$4/100))*G97))),2)</f>
        <v>0</v>
      </c>
      <c r="N97" s="43" t="n">
        <f aca="false">ROUND((IF(P97="BDI 1",((1+($S$3/100))*H97),((1+($S$4/100))*H97))),2)</f>
        <v>0</v>
      </c>
      <c r="O97" s="43" t="n">
        <f aca="false">ROUND((M97+N97),2)</f>
        <v>0</v>
      </c>
      <c r="P97" s="44" t="s">
        <v>25</v>
      </c>
      <c r="Q97" s="43" t="n">
        <f aca="false">ROUND(M97*F97,2)</f>
        <v>0</v>
      </c>
      <c r="R97" s="43" t="n">
        <f aca="false">ROUND(N97*F97,2)</f>
        <v>0</v>
      </c>
      <c r="S97" s="45" t="n">
        <f aca="false">ROUND(Q97+R97,2)</f>
        <v>0</v>
      </c>
    </row>
    <row r="98" customFormat="false" ht="32.8" hidden="false" customHeight="false" outlineLevel="0" collapsed="false">
      <c r="A98" s="37" t="s">
        <v>107</v>
      </c>
      <c r="B98" s="38" t="s">
        <v>6</v>
      </c>
      <c r="C98" s="39" t="n">
        <v>87251</v>
      </c>
      <c r="D98" s="40" t="str">
        <f aca="false">IF(B98="SINAPI",(VLOOKUP(C98,Plan1!$B:$G,2,0)),(IF(B98="COMPOSIÇÃO",((VLOOKUP(C98,Plan1!$B:$L,3,0))),(VLOOKUP(C98,Plan1!$B:$L,2,0)))))</f>
        <v>REVESTIMENTO CERÂMICO PARA PISO COM PLACAS TIPO ESMALTADA EXTRA DE DIMENSÕES 45X45 CM APLICADA EM AMBIENTES DE ÁREA MAIOR QUE 10 M2. AF_02/2023_PE</v>
      </c>
      <c r="E98" s="41" t="str">
        <f aca="false">IF(B98="SINAPI",(VLOOKUP(C98,Plan1!$B:$G,3,0)),(IF(B98="COMPOSIÇÃO",((VLOOKUP(C98,Plan1!$B:$L,4,0))),(VLOOKUP(C98,Plan1!$B:$L,5,0)))))</f>
        <v>M2</v>
      </c>
      <c r="F98" s="42" t="n">
        <v>105.18</v>
      </c>
      <c r="G98" s="43"/>
      <c r="H98" s="43"/>
      <c r="I98" s="43" t="n">
        <f aca="false">ROUND((H98+G98),2)</f>
        <v>0</v>
      </c>
      <c r="J98" s="43" t="n">
        <f aca="false">ROUND((G98*F98),2)</f>
        <v>0</v>
      </c>
      <c r="K98" s="43" t="n">
        <f aca="false">ROUND((H98*F98),2)</f>
        <v>0</v>
      </c>
      <c r="L98" s="43" t="n">
        <f aca="false">ROUND((K98+J98),2)</f>
        <v>0</v>
      </c>
      <c r="M98" s="43" t="n">
        <f aca="false">ROUND((IF(P98="BDI 1",((1+($S$3/100))*G98),((1+($S$4/100))*G98))),2)</f>
        <v>0</v>
      </c>
      <c r="N98" s="43" t="n">
        <f aca="false">ROUND((IF(P98="BDI 1",((1+($S$3/100))*H98),((1+($S$4/100))*H98))),2)</f>
        <v>0</v>
      </c>
      <c r="O98" s="43" t="n">
        <f aca="false">ROUND((M98+N98),2)</f>
        <v>0</v>
      </c>
      <c r="P98" s="44" t="s">
        <v>25</v>
      </c>
      <c r="Q98" s="43" t="n">
        <f aca="false">ROUND(M98*F98,2)</f>
        <v>0</v>
      </c>
      <c r="R98" s="43" t="n">
        <f aca="false">ROUND(N98*F98,2)</f>
        <v>0</v>
      </c>
      <c r="S98" s="45" t="n">
        <f aca="false">ROUND(Q98+R98,2)</f>
        <v>0</v>
      </c>
    </row>
    <row r="99" customFormat="false" ht="32.8" hidden="false" customHeight="false" outlineLevel="0" collapsed="false">
      <c r="A99" s="37" t="s">
        <v>108</v>
      </c>
      <c r="B99" s="38" t="s">
        <v>6</v>
      </c>
      <c r="C99" s="39" t="n">
        <v>87273</v>
      </c>
      <c r="D99" s="40" t="str">
        <f aca="false">IF(B99="SINAPI",(VLOOKUP(C99,Plan1!$B:$G,2,0)),(IF(B99="COMPOSIÇÃO",((VLOOKUP(C99,Plan1!$B:$L,3,0))),(VLOOKUP(C99,Plan1!$B:$L,2,0)))))</f>
        <v>REVESTIMENTO CERÂMICO PARA PAREDES INTERNAS COM PLACAS TIPO ESMALTADA EXTRA  DE DIMENSÕES 33X45 CM APLICADAS NA ALTURA INTEIRA DAS PAREDES. AF_02/2023_PE</v>
      </c>
      <c r="E99" s="41" t="str">
        <f aca="false">IF(B99="SINAPI",(VLOOKUP(C99,Plan1!$B:$G,3,0)),(IF(B99="COMPOSIÇÃO",((VLOOKUP(C99,Plan1!$B:$L,4,0))),(VLOOKUP(C99,Plan1!$B:$L,5,0)))))</f>
        <v>M2</v>
      </c>
      <c r="F99" s="42" t="n">
        <v>65.53</v>
      </c>
      <c r="G99" s="43"/>
      <c r="H99" s="43"/>
      <c r="I99" s="43" t="n">
        <f aca="false">ROUND((H99+G99),2)</f>
        <v>0</v>
      </c>
      <c r="J99" s="43" t="n">
        <f aca="false">ROUND((G99*F99),2)</f>
        <v>0</v>
      </c>
      <c r="K99" s="43" t="n">
        <f aca="false">ROUND((H99*F99),2)</f>
        <v>0</v>
      </c>
      <c r="L99" s="43" t="n">
        <f aca="false">ROUND((K99+J99),2)</f>
        <v>0</v>
      </c>
      <c r="M99" s="43" t="n">
        <f aca="false">ROUND((IF(P99="BDI 1",((1+($S$3/100))*G99),((1+($S$4/100))*G99))),2)</f>
        <v>0</v>
      </c>
      <c r="N99" s="43" t="n">
        <f aca="false">ROUND((IF(P99="BDI 1",((1+($S$3/100))*H99),((1+($S$4/100))*H99))),2)</f>
        <v>0</v>
      </c>
      <c r="O99" s="43" t="n">
        <f aca="false">ROUND((M99+N99),2)</f>
        <v>0</v>
      </c>
      <c r="P99" s="44" t="s">
        <v>25</v>
      </c>
      <c r="Q99" s="43" t="n">
        <f aca="false">ROUND(M99*F99,2)</f>
        <v>0</v>
      </c>
      <c r="R99" s="43" t="n">
        <f aca="false">ROUND(N99*F99,2)</f>
        <v>0</v>
      </c>
      <c r="S99" s="45" t="n">
        <f aca="false">ROUND(Q99+R99,2)</f>
        <v>0</v>
      </c>
    </row>
    <row r="100" customFormat="false" ht="32.8" hidden="false" customHeight="false" outlineLevel="0" collapsed="false">
      <c r="A100" s="37" t="s">
        <v>109</v>
      </c>
      <c r="B100" s="38" t="s">
        <v>6</v>
      </c>
      <c r="C100" s="39" t="n">
        <v>96467</v>
      </c>
      <c r="D100" s="40" t="str">
        <f aca="false">IF(B100="SINAPI",(VLOOKUP(C100,Plan1!$B:$G,2,0)),(IF(B100="COMPOSIÇÃO",((VLOOKUP(C100,Plan1!$B:$L,3,0))),(VLOOKUP(C100,Plan1!$B:$L,2,0)))))</f>
        <v>RODAPÉ CERÂMICO DE 7CM DE ALTURA COM PLACAS TIPO ESMALTADA COMERCIAL DE DIMENSÕES 35X35CM (PADRAO POPULAR). AF_02/2023</v>
      </c>
      <c r="E100" s="41" t="str">
        <f aca="false">IF(B100="SINAPI",(VLOOKUP(C100,Plan1!$B:$G,3,0)),(IF(B100="COMPOSIÇÃO",((VLOOKUP(C100,Plan1!$B:$L,4,0))),(VLOOKUP(C100,Plan1!$B:$L,5,0)))))</f>
        <v>M</v>
      </c>
      <c r="F100" s="42" t="n">
        <v>127.48</v>
      </c>
      <c r="G100" s="43"/>
      <c r="H100" s="43"/>
      <c r="I100" s="43" t="n">
        <f aca="false">ROUND((H100+G100),2)</f>
        <v>0</v>
      </c>
      <c r="J100" s="43" t="n">
        <f aca="false">ROUND((G100*F100),2)</f>
        <v>0</v>
      </c>
      <c r="K100" s="43" t="n">
        <f aca="false">ROUND((H100*F100),2)</f>
        <v>0</v>
      </c>
      <c r="L100" s="43" t="n">
        <f aca="false">ROUND((K100+J100),2)</f>
        <v>0</v>
      </c>
      <c r="M100" s="43" t="n">
        <f aca="false">ROUND((IF(P100="BDI 1",((1+($S$3/100))*G100),((1+($S$4/100))*G100))),2)</f>
        <v>0</v>
      </c>
      <c r="N100" s="43" t="n">
        <f aca="false">ROUND((IF(P100="BDI 1",((1+($S$3/100))*H100),((1+($S$4/100))*H100))),2)</f>
        <v>0</v>
      </c>
      <c r="O100" s="43" t="n">
        <f aca="false">ROUND((M100+N100),2)</f>
        <v>0</v>
      </c>
      <c r="P100" s="44" t="s">
        <v>25</v>
      </c>
      <c r="Q100" s="43" t="n">
        <f aca="false">ROUND(M100*F100,2)</f>
        <v>0</v>
      </c>
      <c r="R100" s="43" t="n">
        <f aca="false">ROUND(N100*F100,2)</f>
        <v>0</v>
      </c>
      <c r="S100" s="45" t="n">
        <f aca="false">ROUND(Q100+R100,2)</f>
        <v>0</v>
      </c>
    </row>
    <row r="101" customFormat="false" ht="32.8" hidden="false" customHeight="false" outlineLevel="0" collapsed="false">
      <c r="A101" s="37" t="s">
        <v>110</v>
      </c>
      <c r="B101" s="38" t="s">
        <v>6</v>
      </c>
      <c r="C101" s="39" t="n">
        <v>96116</v>
      </c>
      <c r="D101" s="40" t="str">
        <f aca="false">IF(B101="SINAPI",(VLOOKUP(C101,Plan1!$B:$G,2,0)),(IF(B101="COMPOSIÇÃO",((VLOOKUP(C101,Plan1!$B:$L,3,0))),(VLOOKUP(C101,Plan1!$B:$L,2,0)))))</f>
        <v>FORRO EM RÉGUAS DE PVC, FRISADO, PARA AMBIENTES COMERCIAIS, INCLUSIVE ESTRUTURA BIDIRECIONAL DE FIXAÇÃO. AF_08/2023_PS</v>
      </c>
      <c r="E101" s="41" t="str">
        <f aca="false">IF(B101="SINAPI",(VLOOKUP(C101,Plan1!$B:$G,3,0)),(IF(B101="COMPOSIÇÃO",((VLOOKUP(C101,Plan1!$B:$L,4,0))),(VLOOKUP(C101,Plan1!$B:$L,5,0)))))</f>
        <v>M2</v>
      </c>
      <c r="F101" s="42" t="n">
        <v>160.63</v>
      </c>
      <c r="G101" s="43"/>
      <c r="H101" s="43"/>
      <c r="I101" s="43" t="n">
        <f aca="false">ROUND((H101+G101),2)</f>
        <v>0</v>
      </c>
      <c r="J101" s="43" t="n">
        <f aca="false">ROUND((G101*F101),2)</f>
        <v>0</v>
      </c>
      <c r="K101" s="43" t="n">
        <f aca="false">ROUND((H101*F101),2)</f>
        <v>0</v>
      </c>
      <c r="L101" s="43" t="n">
        <f aca="false">ROUND((K101+J101),2)</f>
        <v>0</v>
      </c>
      <c r="M101" s="43" t="n">
        <f aca="false">ROUND((IF(P101="BDI 1",((1+($S$3/100))*G101),((1+($S$4/100))*G101))),2)</f>
        <v>0</v>
      </c>
      <c r="N101" s="43" t="n">
        <f aca="false">ROUND((IF(P101="BDI 1",((1+($S$3/100))*H101),((1+($S$4/100))*H101))),2)</f>
        <v>0</v>
      </c>
      <c r="O101" s="43" t="n">
        <f aca="false">ROUND((M101+N101),2)</f>
        <v>0</v>
      </c>
      <c r="P101" s="44" t="s">
        <v>25</v>
      </c>
      <c r="Q101" s="43" t="n">
        <f aca="false">ROUND(M101*F101,2)</f>
        <v>0</v>
      </c>
      <c r="R101" s="43" t="n">
        <f aca="false">ROUND(N101*F101,2)</f>
        <v>0</v>
      </c>
      <c r="S101" s="45" t="n">
        <f aca="false">ROUND(Q101+R101,2)</f>
        <v>0</v>
      </c>
    </row>
    <row r="102" customFormat="false" ht="22.35" hidden="false" customHeight="false" outlineLevel="0" collapsed="false">
      <c r="A102" s="37" t="s">
        <v>111</v>
      </c>
      <c r="B102" s="38" t="s">
        <v>6</v>
      </c>
      <c r="C102" s="39" t="n">
        <v>96121</v>
      </c>
      <c r="D102" s="40" t="str">
        <f aca="false">IF(B102="SINAPI",(VLOOKUP(C102,Plan1!$B:$G,2,0)),(IF(B102="COMPOSIÇÃO",((VLOOKUP(C102,Plan1!$B:$L,3,0))),(VLOOKUP(C102,Plan1!$B:$L,2,0)))))</f>
        <v>ACABAMENTOS PARA FORRO (RODA-FORRO EM PERFIL METÁLICO E PLÁSTICO). AF_08/2023</v>
      </c>
      <c r="E102" s="41" t="str">
        <f aca="false">IF(B102="SINAPI",(VLOOKUP(C102,Plan1!$B:$G,3,0)),(IF(B102="COMPOSIÇÃO",((VLOOKUP(C102,Plan1!$B:$L,4,0))),(VLOOKUP(C102,Plan1!$B:$L,5,0)))))</f>
        <v>M</v>
      </c>
      <c r="F102" s="42" t="n">
        <f aca="false">11.2+13.7+18+15.4+16+7.65+11.9+11+20.35+11.35+12.9+25.6+11</f>
        <v>186.05</v>
      </c>
      <c r="G102" s="43"/>
      <c r="H102" s="43"/>
      <c r="I102" s="43" t="n">
        <f aca="false">ROUND((H102+G102),2)</f>
        <v>0</v>
      </c>
      <c r="J102" s="43" t="n">
        <f aca="false">ROUND((G102*F102),2)</f>
        <v>0</v>
      </c>
      <c r="K102" s="43" t="n">
        <f aca="false">ROUND((H102*F102),2)</f>
        <v>0</v>
      </c>
      <c r="L102" s="43" t="n">
        <f aca="false">ROUND((K102+J102),2)</f>
        <v>0</v>
      </c>
      <c r="M102" s="43" t="n">
        <f aca="false">ROUND((IF(P102="BDI 1",((1+($S$3/100))*G102),((1+($S$4/100))*G102))),2)</f>
        <v>0</v>
      </c>
      <c r="N102" s="43" t="n">
        <f aca="false">ROUND((IF(P102="BDI 1",((1+($S$3/100))*H102),((1+($S$4/100))*H102))),2)</f>
        <v>0</v>
      </c>
      <c r="O102" s="43" t="n">
        <f aca="false">ROUND((M102+N102),2)</f>
        <v>0</v>
      </c>
      <c r="P102" s="44" t="s">
        <v>25</v>
      </c>
      <c r="Q102" s="43" t="n">
        <f aca="false">ROUND(M102*F102,2)</f>
        <v>0</v>
      </c>
      <c r="R102" s="43" t="n">
        <f aca="false">ROUND(N102*F102,2)</f>
        <v>0</v>
      </c>
      <c r="S102" s="45" t="n">
        <f aca="false">ROUND(Q102+R102,2)</f>
        <v>0</v>
      </c>
    </row>
    <row r="103" customFormat="false" ht="15" hidden="false" customHeight="false" outlineLevel="0" collapsed="false">
      <c r="A103" s="55"/>
      <c r="B103" s="55"/>
      <c r="C103" s="56"/>
      <c r="D103" s="57"/>
      <c r="E103" s="56"/>
      <c r="F103" s="58"/>
      <c r="G103" s="58"/>
      <c r="H103" s="58"/>
      <c r="I103" s="59"/>
      <c r="J103" s="59"/>
      <c r="K103" s="59"/>
      <c r="L103" s="59"/>
      <c r="M103" s="52"/>
      <c r="N103" s="52"/>
      <c r="O103" s="52"/>
      <c r="P103" s="52"/>
      <c r="Q103" s="52"/>
      <c r="R103" s="52"/>
      <c r="S103" s="53"/>
    </row>
    <row r="104" customFormat="false" ht="15" hidden="false" customHeight="false" outlineLevel="0" collapsed="false">
      <c r="A104" s="31" t="n">
        <v>8</v>
      </c>
      <c r="B104" s="32"/>
      <c r="C104" s="33"/>
      <c r="D104" s="34" t="s">
        <v>112</v>
      </c>
      <c r="E104" s="34"/>
      <c r="F104" s="35"/>
      <c r="G104" s="36"/>
      <c r="H104" s="36"/>
      <c r="I104" s="36"/>
      <c r="J104" s="36" t="n">
        <f aca="false">ROUND(SUM(J105:J106),2)</f>
        <v>0</v>
      </c>
      <c r="K104" s="36" t="n">
        <f aca="false">ROUND(SUM(K105:K106),2)</f>
        <v>0</v>
      </c>
      <c r="L104" s="36" t="n">
        <f aca="false">ROUND(SUM(L105:L106),2)</f>
        <v>0</v>
      </c>
      <c r="M104" s="36"/>
      <c r="N104" s="36"/>
      <c r="O104" s="36"/>
      <c r="P104" s="36"/>
      <c r="Q104" s="36" t="n">
        <f aca="false">ROUND((SUM(Q105:Q106)),2)</f>
        <v>0</v>
      </c>
      <c r="R104" s="36" t="n">
        <f aca="false">ROUND((SUM(R105:R106)),2)</f>
        <v>0</v>
      </c>
      <c r="S104" s="36" t="n">
        <f aca="false">ROUND((SUM(S105:S106)),2)</f>
        <v>0</v>
      </c>
    </row>
    <row r="105" customFormat="false" ht="32.8" hidden="false" customHeight="false" outlineLevel="0" collapsed="false">
      <c r="A105" s="37" t="s">
        <v>113</v>
      </c>
      <c r="B105" s="38" t="s">
        <v>6</v>
      </c>
      <c r="C105" s="39" t="n">
        <v>86931</v>
      </c>
      <c r="D105" s="40" t="str">
        <f aca="false">IF(B105="SINAPI",(VLOOKUP(C105,Plan1!$B:$G,2,0)),(IF(B105="COMPOSIÇÃO",((VLOOKUP(C105,Plan1!$B:$L,3,0))),(VLOOKUP(C105,Plan1!$B:$L,2,0)))))</f>
        <v>VASO SANITÁRIO SIFONADO COM CAIXA ACOPLADA LOUÇA BRANCA, INCLUSO ENGATE FLEXÍVEL EM PLÁSTICO BRANCO, 1/2  X 40CM - FORNECIMENTO E INSTALAÇÃO. AF_01/2020</v>
      </c>
      <c r="E105" s="41" t="str">
        <f aca="false">IF(B105="SINAPI",(VLOOKUP(C105,Plan1!$B:$G,3,0)),(IF(B105="COMPOSIÇÃO",((VLOOKUP(C105,Plan1!$B:$L,4,0))),(VLOOKUP(C105,Plan1!$B:$L,5,0)))))</f>
        <v>UN</v>
      </c>
      <c r="F105" s="42" t="n">
        <v>13</v>
      </c>
      <c r="G105" s="43"/>
      <c r="H105" s="43"/>
      <c r="I105" s="43" t="n">
        <f aca="false">ROUND((H105+G105),2)</f>
        <v>0</v>
      </c>
      <c r="J105" s="43" t="n">
        <f aca="false">ROUND((G105*F105),2)</f>
        <v>0</v>
      </c>
      <c r="K105" s="43" t="n">
        <f aca="false">ROUND((H105*F105),2)</f>
        <v>0</v>
      </c>
      <c r="L105" s="43" t="n">
        <f aca="false">ROUND((K105+J105),2)</f>
        <v>0</v>
      </c>
      <c r="M105" s="43" t="n">
        <f aca="false">ROUND((IF(P105="BDI 1",((1+($S$3/100))*G105),((1+($S$4/100))*G105))),2)</f>
        <v>0</v>
      </c>
      <c r="N105" s="43" t="n">
        <f aca="false">ROUND((IF(P105="BDI 1",((1+($S$3/100))*H105),((1+($S$4/100))*H105))),2)</f>
        <v>0</v>
      </c>
      <c r="O105" s="43" t="n">
        <f aca="false">ROUND((M105+N105),2)</f>
        <v>0</v>
      </c>
      <c r="P105" s="44" t="s">
        <v>25</v>
      </c>
      <c r="Q105" s="43" t="n">
        <f aca="false">ROUND(M105*F105,2)</f>
        <v>0</v>
      </c>
      <c r="R105" s="43" t="n">
        <f aca="false">ROUND(N105*F105,2)</f>
        <v>0</v>
      </c>
      <c r="S105" s="45" t="n">
        <f aca="false">ROUND(Q105+R105,2)</f>
        <v>0</v>
      </c>
    </row>
    <row r="106" customFormat="false" ht="53.7" hidden="false" customHeight="false" outlineLevel="0" collapsed="false">
      <c r="A106" s="37" t="s">
        <v>114</v>
      </c>
      <c r="B106" s="38" t="s">
        <v>6</v>
      </c>
      <c r="C106" s="39" t="n">
        <v>93396</v>
      </c>
      <c r="D106" s="40" t="str">
        <f aca="false">IF(B106="SINAPI",(VLOOKUP(C106,Plan1!$B:$G,2,0)),(IF(B106="COMPOSIÇÃO",((VLOOKUP(C106,Plan1!$B:$L,3,0))),(VLOOKUP(C106,Plan1!$B:$L,2,0)))))</f>
        <v>BANCADA GRANITO CINZA,  50 X 60 CM, INCL. CUBA DE EMBUTIR OVAL LOUÇA BRANCA 35 X 50 CM, VÁLVULA METAL CROMADO, SIFÃO FLEXÍVEL PVC, ENGATE 30 CM FLEXÍVEL PLÁSTICO E TORNEIRA CROMADA DE MESA, PADRÃO POPULAR - FORNEC. E INSTALAÇÃO. AF_01/2020</v>
      </c>
      <c r="E106" s="41" t="str">
        <f aca="false">IF(B106="SINAPI",(VLOOKUP(C106,Plan1!$B:$G,3,0)),(IF(B106="COMPOSIÇÃO",((VLOOKUP(C106,Plan1!$B:$L,4,0))),(VLOOKUP(C106,Plan1!$B:$L,5,0)))))</f>
        <v>UN</v>
      </c>
      <c r="F106" s="42" t="n">
        <v>11</v>
      </c>
      <c r="G106" s="43"/>
      <c r="H106" s="43"/>
      <c r="I106" s="43" t="n">
        <f aca="false">ROUND((H106+G106),2)</f>
        <v>0</v>
      </c>
      <c r="J106" s="43" t="n">
        <f aca="false">ROUND((G106*F106),2)</f>
        <v>0</v>
      </c>
      <c r="K106" s="43" t="n">
        <f aca="false">ROUND((H106*F106),2)</f>
        <v>0</v>
      </c>
      <c r="L106" s="43" t="n">
        <f aca="false">ROUND((K106+J106),2)</f>
        <v>0</v>
      </c>
      <c r="M106" s="43" t="n">
        <f aca="false">ROUND((IF(P106="BDI 1",((1+($S$3/100))*G106),((1+($S$4/100))*G106))),2)</f>
        <v>0</v>
      </c>
      <c r="N106" s="43" t="n">
        <f aca="false">ROUND((IF(P106="BDI 1",((1+($S$3/100))*H106),((1+($S$4/100))*H106))),2)</f>
        <v>0</v>
      </c>
      <c r="O106" s="43" t="n">
        <f aca="false">ROUND((M106+N106),2)</f>
        <v>0</v>
      </c>
      <c r="P106" s="44" t="s">
        <v>25</v>
      </c>
      <c r="Q106" s="43" t="n">
        <f aca="false">ROUND(M106*F106,2)</f>
        <v>0</v>
      </c>
      <c r="R106" s="43" t="n">
        <f aca="false">ROUND(N106*F106,2)</f>
        <v>0</v>
      </c>
      <c r="S106" s="45" t="n">
        <f aca="false">ROUND(Q106+R106,2)</f>
        <v>0</v>
      </c>
    </row>
    <row r="107" customFormat="false" ht="15" hidden="false" customHeight="false" outlineLevel="0" collapsed="false">
      <c r="A107" s="55"/>
      <c r="B107" s="55"/>
      <c r="C107" s="56"/>
      <c r="D107" s="57"/>
      <c r="E107" s="56"/>
      <c r="F107" s="58"/>
      <c r="G107" s="58"/>
      <c r="H107" s="58"/>
      <c r="I107" s="59"/>
      <c r="J107" s="59"/>
      <c r="K107" s="59"/>
      <c r="L107" s="59"/>
      <c r="M107" s="52"/>
      <c r="N107" s="52"/>
      <c r="O107" s="52"/>
      <c r="P107" s="52"/>
      <c r="Q107" s="52"/>
      <c r="R107" s="52"/>
      <c r="S107" s="53"/>
    </row>
    <row r="108" customFormat="false" ht="15" hidden="false" customHeight="false" outlineLevel="0" collapsed="false">
      <c r="A108" s="31" t="n">
        <v>9</v>
      </c>
      <c r="B108" s="32"/>
      <c r="C108" s="33"/>
      <c r="D108" s="34" t="s">
        <v>115</v>
      </c>
      <c r="E108" s="34"/>
      <c r="F108" s="35"/>
      <c r="G108" s="36"/>
      <c r="H108" s="36"/>
      <c r="I108" s="36"/>
      <c r="J108" s="36" t="n">
        <f aca="false">ROUND(SUM(J109:J111),2)</f>
        <v>0</v>
      </c>
      <c r="K108" s="36" t="n">
        <f aca="false">ROUND(SUM(K109:K111),2)</f>
        <v>0</v>
      </c>
      <c r="L108" s="36" t="n">
        <f aca="false">ROUND(SUM(L109:L111),2)</f>
        <v>0</v>
      </c>
      <c r="M108" s="36"/>
      <c r="N108" s="36"/>
      <c r="O108" s="36"/>
      <c r="P108" s="36"/>
      <c r="Q108" s="36" t="n">
        <f aca="false">ROUND((SUM(Q109:Q111)),2)</f>
        <v>0</v>
      </c>
      <c r="R108" s="36" t="n">
        <f aca="false">ROUND((SUM(R109:R111)),2)</f>
        <v>0</v>
      </c>
      <c r="S108" s="36" t="n">
        <f aca="false">ROUND((SUM(S109:S111)),2)</f>
        <v>0</v>
      </c>
    </row>
    <row r="109" customFormat="false" ht="22.35" hidden="false" customHeight="false" outlineLevel="0" collapsed="false">
      <c r="A109" s="37" t="s">
        <v>116</v>
      </c>
      <c r="B109" s="38" t="s">
        <v>6</v>
      </c>
      <c r="C109" s="39" t="n">
        <v>99805</v>
      </c>
      <c r="D109" s="40" t="str">
        <f aca="false">IF(B109="SINAPI",(VLOOKUP(C109,Plan1!$B:$G,2,0)),(IF(B109="COMPOSIÇÃO",((VLOOKUP(C109,Plan1!$B:$L,3,0))),(VLOOKUP(C109,Plan1!$B:$L,2,0)))))</f>
        <v>LIMPEZA DE PISO CERÂMICO OU COM PEDRAS RÚSTICAS UTILIZANDO ÁCIDO MURIÁTICO. AF_04/2019</v>
      </c>
      <c r="E109" s="41" t="str">
        <f aca="false">IF(B109="SINAPI",(VLOOKUP(C109,Plan1!$B:$G,3,0)),(IF(B109="COMPOSIÇÃO",((VLOOKUP(C109,Plan1!$B:$L,4,0))),(VLOOKUP(C109,Plan1!$B:$L,5,0)))))</f>
        <v>M2</v>
      </c>
      <c r="F109" s="42" t="n">
        <f aca="false">$F$98</f>
        <v>105.18</v>
      </c>
      <c r="G109" s="43"/>
      <c r="H109" s="43"/>
      <c r="I109" s="43" t="n">
        <f aca="false">ROUND((H109+G109),2)</f>
        <v>0</v>
      </c>
      <c r="J109" s="43" t="n">
        <f aca="false">ROUND((G109*F109),2)</f>
        <v>0</v>
      </c>
      <c r="K109" s="43" t="n">
        <f aca="false">ROUND((H109*F109),2)</f>
        <v>0</v>
      </c>
      <c r="L109" s="43" t="n">
        <f aca="false">ROUND((K109+J109),2)</f>
        <v>0</v>
      </c>
      <c r="M109" s="43" t="n">
        <f aca="false">ROUND((IF(P109="BDI 1",((1+($S$3/100))*G109),((1+($S$4/100))*G109))),2)</f>
        <v>0</v>
      </c>
      <c r="N109" s="43" t="n">
        <f aca="false">ROUND((IF(P109="BDI 1",((1+($S$3/100))*H109),((1+($S$4/100))*H109))),2)</f>
        <v>0</v>
      </c>
      <c r="O109" s="43" t="n">
        <f aca="false">ROUND((M109+N109),2)</f>
        <v>0</v>
      </c>
      <c r="P109" s="44" t="s">
        <v>25</v>
      </c>
      <c r="Q109" s="43" t="n">
        <f aca="false">ROUND(M109*F109,2)</f>
        <v>0</v>
      </c>
      <c r="R109" s="43" t="n">
        <f aca="false">ROUND(N109*F109,2)</f>
        <v>0</v>
      </c>
      <c r="S109" s="45" t="n">
        <f aca="false">ROUND(Q109+R109,2)</f>
        <v>0</v>
      </c>
    </row>
    <row r="110" customFormat="false" ht="22.35" hidden="false" customHeight="false" outlineLevel="0" collapsed="false">
      <c r="A110" s="37" t="s">
        <v>117</v>
      </c>
      <c r="B110" s="38" t="s">
        <v>6</v>
      </c>
      <c r="C110" s="39" t="n">
        <v>99808</v>
      </c>
      <c r="D110" s="40" t="str">
        <f aca="false">IF(B110="SINAPI",(VLOOKUP(C110,Plan1!$B:$G,2,0)),(IF(B110="COMPOSIÇÃO",((VLOOKUP(C110,Plan1!$B:$L,3,0))),(VLOOKUP(C110,Plan1!$B:$L,2,0)))))</f>
        <v>LIMPEZA DE REVESTIMENTO CERÂMICO EM PAREDE UTILIZANDO ÁCIDO MURIÁTICO. AF_04/2019</v>
      </c>
      <c r="E110" s="41" t="str">
        <f aca="false">IF(B110="SINAPI",(VLOOKUP(C110,Plan1!$B:$G,3,0)),(IF(B110="COMPOSIÇÃO",((VLOOKUP(C110,Plan1!$B:$L,4,0))),(VLOOKUP(C110,Plan1!$B:$L,5,0)))))</f>
        <v>M2</v>
      </c>
      <c r="F110" s="42" t="n">
        <f aca="false">$F$99</f>
        <v>65.53</v>
      </c>
      <c r="G110" s="43"/>
      <c r="H110" s="43"/>
      <c r="I110" s="43" t="n">
        <f aca="false">ROUND((H110+G110),2)</f>
        <v>0</v>
      </c>
      <c r="J110" s="43" t="n">
        <f aca="false">ROUND((G110*F110),2)</f>
        <v>0</v>
      </c>
      <c r="K110" s="43" t="n">
        <f aca="false">ROUND((H110*F110),2)</f>
        <v>0</v>
      </c>
      <c r="L110" s="43" t="n">
        <f aca="false">ROUND((K110+J110),2)</f>
        <v>0</v>
      </c>
      <c r="M110" s="43" t="n">
        <f aca="false">ROUND((IF(P110="BDI 1",((1+($S$3/100))*G110),((1+($S$4/100))*G110))),2)</f>
        <v>0</v>
      </c>
      <c r="N110" s="43" t="n">
        <f aca="false">ROUND((IF(P110="BDI 1",((1+($S$3/100))*H110),((1+($S$4/100))*H110))),2)</f>
        <v>0</v>
      </c>
      <c r="O110" s="43" t="n">
        <f aca="false">ROUND((M110+N110),2)</f>
        <v>0</v>
      </c>
      <c r="P110" s="44" t="s">
        <v>25</v>
      </c>
      <c r="Q110" s="43" t="n">
        <f aca="false">ROUND(M110*F110,2)</f>
        <v>0</v>
      </c>
      <c r="R110" s="43" t="n">
        <f aca="false">ROUND(N110*F110,2)</f>
        <v>0</v>
      </c>
      <c r="S110" s="45" t="n">
        <f aca="false">ROUND(Q110+R110,2)</f>
        <v>0</v>
      </c>
    </row>
    <row r="111" customFormat="false" ht="43.25" hidden="false" customHeight="false" outlineLevel="0" collapsed="false">
      <c r="A111" s="37" t="s">
        <v>118</v>
      </c>
      <c r="B111" s="38" t="s">
        <v>6</v>
      </c>
      <c r="C111" s="54" t="n">
        <v>100981</v>
      </c>
      <c r="D111" s="40" t="str">
        <f aca="false">IF(B111="SINAPI",(VLOOKUP(C111,Plan1!$B:$G,2,0)),(IF(B111="COMPOSIÇÃO",((VLOOKUP(C111,Plan1!$B:$L,3,0))),(VLOOKUP(C111,Plan1!$B:$L,2,0)))))</f>
        <v>CARGA, MANOBRA E DESCARGA DE ENTULHO EM CAMINHÃO BASCULANTE 6 M³ - CARGA COM ESCAVADEIRA HIDRÁULICA  (CAÇAMBA DE 0,80 M³ / 111 HP) E DESCARGA LIVRE (UNIDADE: M3). AF_07/2020</v>
      </c>
      <c r="E111" s="41" t="str">
        <f aca="false">IF(B111="SINAPI",(VLOOKUP(C111,Plan1!$B:$G,3,0)),(IF(B111="COMPOSIÇÃO",((VLOOKUP(C111,Plan1!$B:$L,4,0))),(VLOOKUP(C111,Plan1!$B:$L,5,0)))))</f>
        <v>M3</v>
      </c>
      <c r="F111" s="42" t="n">
        <v>6</v>
      </c>
      <c r="G111" s="43"/>
      <c r="H111" s="43"/>
      <c r="I111" s="43" t="n">
        <f aca="false">ROUND((H111+G111),2)</f>
        <v>0</v>
      </c>
      <c r="J111" s="43" t="n">
        <f aca="false">ROUND((G111*F111),2)</f>
        <v>0</v>
      </c>
      <c r="K111" s="43" t="n">
        <f aca="false">ROUND((H111*F111),2)</f>
        <v>0</v>
      </c>
      <c r="L111" s="43" t="n">
        <f aca="false">ROUND((K111+J111),2)</f>
        <v>0</v>
      </c>
      <c r="M111" s="43" t="n">
        <f aca="false">ROUND((IF(P111="BDI 1",((1+($S$3/100))*G111),((1+($S$4/100))*G111))),2)</f>
        <v>0</v>
      </c>
      <c r="N111" s="43" t="n">
        <f aca="false">ROUND((IF(P111="BDI 1",((1+($S$3/100))*H111),((1+($S$4/100))*H111))),2)</f>
        <v>0</v>
      </c>
      <c r="O111" s="43" t="n">
        <f aca="false">ROUND((M111+N111),2)</f>
        <v>0</v>
      </c>
      <c r="P111" s="44" t="s">
        <v>25</v>
      </c>
      <c r="Q111" s="43" t="n">
        <f aca="false">ROUND(M111*F111,2)</f>
        <v>0</v>
      </c>
      <c r="R111" s="43" t="n">
        <f aca="false">ROUND(N111*F111,2)</f>
        <v>0</v>
      </c>
      <c r="S111" s="45" t="n">
        <f aca="false">ROUND(Q111+R111,2)</f>
        <v>0</v>
      </c>
    </row>
    <row r="112" customFormat="false" ht="15" hidden="false" customHeight="false" outlineLevel="0" collapsed="false">
      <c r="A112" s="55"/>
      <c r="B112" s="55"/>
      <c r="C112" s="56"/>
      <c r="D112" s="57"/>
      <c r="E112" s="56"/>
      <c r="F112" s="58"/>
      <c r="G112" s="58"/>
      <c r="H112" s="58"/>
      <c r="I112" s="59"/>
      <c r="J112" s="59"/>
      <c r="K112" s="59"/>
      <c r="L112" s="59"/>
      <c r="M112" s="52"/>
      <c r="N112" s="52"/>
      <c r="O112" s="52"/>
      <c r="P112" s="52"/>
      <c r="Q112" s="52"/>
      <c r="R112" s="52"/>
      <c r="S112" s="53"/>
    </row>
    <row r="113" customFormat="false" ht="15" hidden="false" customHeight="false" outlineLevel="0" collapsed="false">
      <c r="A113" s="60" t="s">
        <v>119</v>
      </c>
      <c r="B113" s="61"/>
      <c r="C113" s="61"/>
      <c r="D113" s="61"/>
      <c r="E113" s="61"/>
      <c r="F113" s="61"/>
      <c r="G113" s="61"/>
      <c r="H113" s="61"/>
      <c r="I113" s="61"/>
      <c r="J113" s="62" t="n">
        <f aca="false">ROUND(((SUM(J9:J112))/2),2)</f>
        <v>0</v>
      </c>
      <c r="K113" s="62" t="n">
        <f aca="false">ROUND(((SUM(K9:K112))/2),2)</f>
        <v>0</v>
      </c>
      <c r="L113" s="62" t="n">
        <f aca="false">ROUND(((SUM(L9:L112))/2),2)</f>
        <v>0</v>
      </c>
      <c r="M113" s="61"/>
      <c r="N113" s="61"/>
      <c r="O113" s="61"/>
      <c r="P113" s="63"/>
      <c r="Q113" s="64" t="n">
        <f aca="false">(SUM(Q9:Q112))/2</f>
        <v>0</v>
      </c>
      <c r="R113" s="64" t="n">
        <f aca="false">(SUM(R9:R112))/2</f>
        <v>0</v>
      </c>
      <c r="S113" s="65" t="n">
        <f aca="false">(SUM(S9:S112))/2</f>
        <v>0</v>
      </c>
    </row>
    <row r="114" customFormat="false" ht="15" hidden="false" customHeight="false" outlineLevel="0" collapsed="false">
      <c r="A114" s="66"/>
      <c r="B114" s="66"/>
      <c r="C114" s="66"/>
      <c r="D114" s="66"/>
      <c r="E114" s="66"/>
      <c r="F114" s="67"/>
      <c r="G114" s="67"/>
      <c r="H114" s="67"/>
      <c r="I114" s="68"/>
      <c r="J114" s="68"/>
      <c r="K114" s="68"/>
      <c r="L114" s="68"/>
      <c r="M114" s="68"/>
      <c r="N114" s="68"/>
      <c r="O114" s="69"/>
      <c r="P114" s="69"/>
      <c r="Q114" s="69"/>
      <c r="R114" s="69"/>
      <c r="S114" s="70"/>
    </row>
    <row r="115" customFormat="false" ht="15" hidden="false" customHeight="false" outlineLevel="0" collapsed="false">
      <c r="A115" s="71"/>
      <c r="B115" s="71"/>
      <c r="C115" s="71"/>
      <c r="D115" s="72"/>
      <c r="E115" s="71"/>
      <c r="F115" s="71"/>
      <c r="G115" s="72"/>
      <c r="H115" s="71"/>
      <c r="I115" s="71"/>
      <c r="J115" s="71"/>
      <c r="K115" s="71"/>
      <c r="L115" s="71"/>
      <c r="M115" s="73"/>
      <c r="N115" s="74"/>
      <c r="O115" s="73"/>
      <c r="P115" s="73"/>
      <c r="Q115" s="73" t="s">
        <v>120</v>
      </c>
      <c r="R115" s="75" t="n">
        <f aca="true">TODAY()</f>
        <v>45559</v>
      </c>
      <c r="S115" s="75"/>
    </row>
  </sheetData>
  <mergeCells count="17">
    <mergeCell ref="A1:S1"/>
    <mergeCell ref="A2:S2"/>
    <mergeCell ref="C3:O3"/>
    <mergeCell ref="C4:O4"/>
    <mergeCell ref="C5:O5"/>
    <mergeCell ref="A6:A7"/>
    <mergeCell ref="B6:B7"/>
    <mergeCell ref="C6:C7"/>
    <mergeCell ref="D6:D7"/>
    <mergeCell ref="E6:E7"/>
    <mergeCell ref="F6:F7"/>
    <mergeCell ref="G6:I6"/>
    <mergeCell ref="J6:L6"/>
    <mergeCell ref="M6:O6"/>
    <mergeCell ref="P6:P7"/>
    <mergeCell ref="Q6:S6"/>
    <mergeCell ref="R115:S115"/>
  </mergeCells>
  <dataValidations count="1">
    <dataValidation allowBlank="true" errorStyle="stop" operator="between" showDropDown="false" showErrorMessage="true" showInputMessage="true" sqref="P10 P13:P21 P24:P30 P33:P41 P44:P67 P70:P89 P92:P102 P105:P106 P109:P111" type="list">
      <formula1>"BDI 1,BDI 2"</formula1>
      <formula2>0</formula2>
    </dataValidation>
  </dataValidations>
  <printOptions headings="false" gridLines="false" gridLinesSet="true" horizontalCentered="false" verticalCentered="false"/>
  <pageMargins left="0.511805555555556" right="0.511805555555556" top="0.7875" bottom="0.78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LibreOffice/24.2.2.2$Windows_X86_64 LibreOffice_project/d56cc158d8a96260b836f100ef4b4ef25d6f1a01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2024-09-19T17:02:40Z</dcterms:created>
  <dc:creator>Marcelo Petzinger</dc:creator>
  <dc:description/>
  <dc:language>pt-BR</dc:language>
  <cp:lastModifiedBy>Marcelo Petzinger</cp:lastModifiedBy>
  <dcterms:modified xsi:type="dcterms:W3CDTF">2024-09-19T17:08:47Z</dcterms:modified>
  <cp:revision>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